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R\Desktop\MOFED\2022 National Budget\"/>
    </mc:Choice>
  </mc:AlternateContent>
  <xr:revisionPtr revIDLastSave="0" documentId="13_ncr:1_{291D6002-03C9-4A25-84D3-14646FB7464F}" xr6:coauthVersionLast="43" xr6:coauthVersionMax="43" xr10:uidLastSave="{00000000-0000-0000-0000-000000000000}"/>
  <bookViews>
    <workbookView xWindow="-110" yWindow="-110" windowWidth="19420" windowHeight="10300" xr2:uid="{1510AA4E-DC52-440F-95D0-8184E084B45A}"/>
  </bookViews>
  <sheets>
    <sheet name="Sheet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" i="1" l="1"/>
  <c r="M13" i="1"/>
  <c r="K14" i="1"/>
  <c r="M14" i="1"/>
  <c r="B15" i="1"/>
  <c r="C15" i="1"/>
  <c r="K15" i="1"/>
  <c r="M15" i="1"/>
  <c r="K16" i="1"/>
  <c r="M16" i="1"/>
  <c r="K17" i="1"/>
  <c r="M17" i="1"/>
  <c r="M21" i="1"/>
  <c r="M25" i="1"/>
  <c r="L26" i="1"/>
  <c r="M26" i="1"/>
  <c r="M27" i="1"/>
  <c r="M28" i="1"/>
  <c r="L29" i="1"/>
  <c r="M29" i="1"/>
  <c r="B32" i="1"/>
  <c r="C32" i="1"/>
  <c r="J43" i="1"/>
  <c r="M43" i="1"/>
  <c r="B44" i="1"/>
  <c r="C44" i="1"/>
  <c r="D44" i="1"/>
  <c r="E44" i="1"/>
  <c r="F44" i="1"/>
  <c r="G44" i="1"/>
  <c r="H44" i="1"/>
  <c r="I44" i="1"/>
  <c r="J44" i="1"/>
  <c r="M44" i="1"/>
  <c r="M45" i="1"/>
  <c r="M48" i="1"/>
  <c r="M49" i="1"/>
  <c r="M52" i="1"/>
  <c r="J61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F69" i="1"/>
  <c r="G69" i="1"/>
  <c r="H69" i="1"/>
  <c r="I69" i="1"/>
  <c r="J69" i="1"/>
  <c r="K69" i="1"/>
  <c r="L69" i="1"/>
  <c r="M69" i="1"/>
  <c r="B71" i="1"/>
  <c r="C71" i="1"/>
  <c r="D71" i="1"/>
  <c r="E71" i="1"/>
  <c r="F71" i="1"/>
  <c r="G71" i="1"/>
  <c r="H71" i="1"/>
  <c r="J71" i="1"/>
  <c r="B73" i="1"/>
  <c r="C73" i="1"/>
  <c r="D73" i="1"/>
  <c r="F73" i="1"/>
  <c r="G73" i="1"/>
  <c r="H73" i="1"/>
  <c r="I73" i="1"/>
  <c r="J73" i="1"/>
  <c r="M73" i="1"/>
  <c r="B81" i="1"/>
  <c r="C81" i="1"/>
  <c r="B83" i="1"/>
  <c r="C83" i="1"/>
  <c r="D83" i="1"/>
  <c r="E83" i="1"/>
  <c r="F83" i="1"/>
  <c r="G83" i="1"/>
  <c r="H83" i="1"/>
  <c r="H82" i="1" s="1"/>
  <c r="I83" i="1"/>
  <c r="J83" i="1"/>
  <c r="K83" i="1"/>
  <c r="L83" i="1"/>
  <c r="M83" i="1"/>
  <c r="B84" i="1"/>
  <c r="C84" i="1"/>
  <c r="D84" i="1"/>
  <c r="D82" i="1" s="1"/>
  <c r="E84" i="1"/>
  <c r="F84" i="1"/>
  <c r="G84" i="1"/>
  <c r="H84" i="1"/>
  <c r="I84" i="1"/>
  <c r="J84" i="1"/>
  <c r="K84" i="1"/>
  <c r="L84" i="1"/>
  <c r="L82" i="1" s="1"/>
  <c r="M84" i="1"/>
  <c r="B85" i="1"/>
  <c r="C85" i="1"/>
  <c r="D85" i="1"/>
  <c r="E85" i="1"/>
  <c r="F85" i="1"/>
  <c r="G85" i="1"/>
  <c r="H85" i="1"/>
  <c r="N85" i="1" s="1"/>
  <c r="I85" i="1"/>
  <c r="J85" i="1"/>
  <c r="K85" i="1"/>
  <c r="L85" i="1"/>
  <c r="M85" i="1"/>
  <c r="B86" i="1"/>
  <c r="C86" i="1"/>
  <c r="D86" i="1"/>
  <c r="N86" i="1" s="1"/>
  <c r="E86" i="1"/>
  <c r="F86" i="1"/>
  <c r="G86" i="1"/>
  <c r="H86" i="1"/>
  <c r="I86" i="1"/>
  <c r="J86" i="1"/>
  <c r="K86" i="1"/>
  <c r="L86" i="1"/>
  <c r="M86" i="1"/>
  <c r="B87" i="1"/>
  <c r="C87" i="1"/>
  <c r="D87" i="1"/>
  <c r="E87" i="1"/>
  <c r="F87" i="1"/>
  <c r="G87" i="1"/>
  <c r="H87" i="1"/>
  <c r="N87" i="1" s="1"/>
  <c r="I87" i="1"/>
  <c r="J87" i="1"/>
  <c r="K87" i="1"/>
  <c r="L87" i="1"/>
  <c r="M87" i="1"/>
  <c r="B88" i="1"/>
  <c r="C88" i="1"/>
  <c r="D88" i="1"/>
  <c r="N88" i="1" s="1"/>
  <c r="E88" i="1"/>
  <c r="F88" i="1"/>
  <c r="G88" i="1"/>
  <c r="H88" i="1"/>
  <c r="I88" i="1"/>
  <c r="J88" i="1"/>
  <c r="K88" i="1"/>
  <c r="L88" i="1"/>
  <c r="M88" i="1"/>
  <c r="B89" i="1"/>
  <c r="C89" i="1"/>
  <c r="D89" i="1"/>
  <c r="E89" i="1"/>
  <c r="F89" i="1"/>
  <c r="G89" i="1"/>
  <c r="H89" i="1"/>
  <c r="N89" i="1" s="1"/>
  <c r="I89" i="1"/>
  <c r="J89" i="1"/>
  <c r="K89" i="1"/>
  <c r="L89" i="1"/>
  <c r="M89" i="1"/>
  <c r="B90" i="1"/>
  <c r="C90" i="1"/>
  <c r="D90" i="1"/>
  <c r="N90" i="1" s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B92" i="1"/>
  <c r="C92" i="1"/>
  <c r="D92" i="1"/>
  <c r="E92" i="1"/>
  <c r="E82" i="1" s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I82" i="1" s="1"/>
  <c r="J93" i="1"/>
  <c r="K93" i="1"/>
  <c r="L93" i="1"/>
  <c r="M93" i="1"/>
  <c r="B97" i="1"/>
  <c r="B100" i="1"/>
  <c r="C100" i="1"/>
  <c r="D100" i="1"/>
  <c r="D99" i="1" s="1"/>
  <c r="E100" i="1"/>
  <c r="F100" i="1"/>
  <c r="G100" i="1"/>
  <c r="H100" i="1"/>
  <c r="I100" i="1"/>
  <c r="J100" i="1"/>
  <c r="K100" i="1"/>
  <c r="L100" i="1"/>
  <c r="L99" i="1" s="1"/>
  <c r="B102" i="1"/>
  <c r="C102" i="1"/>
  <c r="D102" i="1"/>
  <c r="E102" i="1"/>
  <c r="F102" i="1"/>
  <c r="B103" i="1"/>
  <c r="C103" i="1"/>
  <c r="D103" i="1"/>
  <c r="D101" i="1" s="1"/>
  <c r="E103" i="1"/>
  <c r="F103" i="1"/>
  <c r="G103" i="1"/>
  <c r="K103" i="1"/>
  <c r="M103" i="1"/>
  <c r="B106" i="1"/>
  <c r="C106" i="1"/>
  <c r="D106" i="1"/>
  <c r="D105" i="1" s="1"/>
  <c r="E106" i="1"/>
  <c r="F106" i="1"/>
  <c r="G106" i="1"/>
  <c r="H106" i="1"/>
  <c r="I106" i="1"/>
  <c r="J106" i="1"/>
  <c r="K106" i="1"/>
  <c r="L106" i="1"/>
  <c r="C109" i="1"/>
  <c r="F109" i="1"/>
  <c r="G109" i="1"/>
  <c r="H109" i="1"/>
  <c r="I109" i="1"/>
  <c r="J109" i="1"/>
  <c r="L109" i="1"/>
  <c r="C110" i="1"/>
  <c r="C108" i="1" s="1"/>
  <c r="D110" i="1"/>
  <c r="E110" i="1"/>
  <c r="F110" i="1"/>
  <c r="G110" i="1"/>
  <c r="I110" i="1"/>
  <c r="K110" i="1"/>
  <c r="L110" i="1"/>
  <c r="B112" i="1"/>
  <c r="B111" i="1" s="1"/>
  <c r="C112" i="1"/>
  <c r="D112" i="1"/>
  <c r="E112" i="1"/>
  <c r="F112" i="1"/>
  <c r="G112" i="1"/>
  <c r="H112" i="1"/>
  <c r="H111" i="1" s="1"/>
  <c r="I112" i="1"/>
  <c r="J112" i="1"/>
  <c r="J111" i="1" s="1"/>
  <c r="K112" i="1"/>
  <c r="L112" i="1"/>
  <c r="M112" i="1"/>
  <c r="B113" i="1"/>
  <c r="C113" i="1"/>
  <c r="D113" i="1"/>
  <c r="D111" i="1" s="1"/>
  <c r="E113" i="1"/>
  <c r="F113" i="1"/>
  <c r="F111" i="1" s="1"/>
  <c r="G113" i="1"/>
  <c r="H113" i="1"/>
  <c r="I113" i="1"/>
  <c r="J113" i="1"/>
  <c r="K113" i="1"/>
  <c r="L113" i="1"/>
  <c r="M113" i="1"/>
  <c r="B114" i="1"/>
  <c r="C114" i="1"/>
  <c r="D114" i="1"/>
  <c r="F114" i="1"/>
  <c r="G114" i="1"/>
  <c r="H114" i="1"/>
  <c r="I114" i="1"/>
  <c r="I111" i="1" s="1"/>
  <c r="J114" i="1"/>
  <c r="K114" i="1"/>
  <c r="K111" i="1" s="1"/>
  <c r="L114" i="1"/>
  <c r="M114" i="1"/>
  <c r="G115" i="1"/>
  <c r="I115" i="1"/>
  <c r="J115" i="1"/>
  <c r="L115" i="1"/>
  <c r="F117" i="1"/>
  <c r="G117" i="1"/>
  <c r="G111" i="1" s="1"/>
  <c r="H117" i="1"/>
  <c r="I117" i="1"/>
  <c r="L117" i="1"/>
  <c r="M117" i="1"/>
  <c r="B118" i="1"/>
  <c r="C118" i="1"/>
  <c r="C111" i="1" s="1"/>
  <c r="D118" i="1"/>
  <c r="E118" i="1"/>
  <c r="E111" i="1" s="1"/>
  <c r="F118" i="1"/>
  <c r="G118" i="1"/>
  <c r="H118" i="1"/>
  <c r="I118" i="1"/>
  <c r="J118" i="1"/>
  <c r="K118" i="1"/>
  <c r="L118" i="1"/>
  <c r="M118" i="1"/>
  <c r="M111" i="1" s="1"/>
  <c r="B119" i="1"/>
  <c r="C119" i="1"/>
  <c r="D119" i="1"/>
  <c r="E119" i="1"/>
  <c r="F119" i="1"/>
  <c r="G119" i="1"/>
  <c r="H119" i="1"/>
  <c r="I119" i="1"/>
  <c r="J119" i="1"/>
  <c r="L119" i="1"/>
  <c r="M119" i="1"/>
  <c r="B120" i="1"/>
  <c r="C120" i="1"/>
  <c r="D120" i="1"/>
  <c r="E120" i="1"/>
  <c r="F120" i="1"/>
  <c r="G120" i="1"/>
  <c r="I120" i="1"/>
  <c r="J120" i="1"/>
  <c r="L120" i="1"/>
  <c r="M120" i="1"/>
  <c r="G121" i="1"/>
  <c r="I121" i="1"/>
  <c r="N120" i="1"/>
  <c r="L111" i="1"/>
  <c r="H105" i="1"/>
  <c r="G105" i="1"/>
  <c r="E105" i="1"/>
  <c r="F101" i="1"/>
  <c r="B101" i="1"/>
  <c r="G99" i="1"/>
  <c r="E99" i="1"/>
  <c r="C82" i="1"/>
  <c r="N91" i="1"/>
  <c r="J82" i="1"/>
  <c r="B82" i="1"/>
  <c r="M82" i="1"/>
  <c r="F82" i="1"/>
  <c r="B80" i="1"/>
  <c r="N73" i="1"/>
  <c r="N71" i="1"/>
  <c r="H66" i="1"/>
  <c r="F66" i="1"/>
  <c r="J66" i="1"/>
  <c r="I66" i="1"/>
  <c r="I57" i="1" s="1"/>
  <c r="D66" i="1"/>
  <c r="C66" i="1"/>
  <c r="B66" i="1"/>
  <c r="G41" i="1"/>
  <c r="E41" i="1"/>
  <c r="B31" i="1"/>
  <c r="M24" i="1"/>
  <c r="C12" i="1"/>
  <c r="B12" i="1"/>
  <c r="D12" i="1"/>
  <c r="E12" i="1"/>
  <c r="F12" i="1"/>
  <c r="G12" i="1"/>
  <c r="B19" i="1"/>
  <c r="C19" i="1"/>
  <c r="D19" i="1"/>
  <c r="E19" i="1"/>
  <c r="F19" i="1"/>
  <c r="G19" i="1"/>
  <c r="B24" i="1"/>
  <c r="C24" i="1"/>
  <c r="D24" i="1"/>
  <c r="E24" i="1"/>
  <c r="F24" i="1"/>
  <c r="G24" i="1"/>
  <c r="D31" i="1"/>
  <c r="E31" i="1"/>
  <c r="F31" i="1"/>
  <c r="G31" i="1"/>
  <c r="C31" i="1"/>
  <c r="B35" i="1"/>
  <c r="C35" i="1"/>
  <c r="D35" i="1"/>
  <c r="E35" i="1"/>
  <c r="F35" i="1"/>
  <c r="G35" i="1"/>
  <c r="B41" i="1"/>
  <c r="C41" i="1"/>
  <c r="D41" i="1"/>
  <c r="F41" i="1"/>
  <c r="B47" i="1"/>
  <c r="C47" i="1"/>
  <c r="D47" i="1"/>
  <c r="E47" i="1"/>
  <c r="F47" i="1"/>
  <c r="G47" i="1"/>
  <c r="B51" i="1"/>
  <c r="C51" i="1"/>
  <c r="D51" i="1"/>
  <c r="E51" i="1"/>
  <c r="F51" i="1"/>
  <c r="G51" i="1"/>
  <c r="B58" i="1"/>
  <c r="C58" i="1"/>
  <c r="D58" i="1"/>
  <c r="E58" i="1"/>
  <c r="F58" i="1"/>
  <c r="G58" i="1"/>
  <c r="G66" i="1"/>
  <c r="E66" i="1"/>
  <c r="D80" i="1"/>
  <c r="E80" i="1"/>
  <c r="F80" i="1"/>
  <c r="G80" i="1"/>
  <c r="C80" i="1"/>
  <c r="B95" i="1"/>
  <c r="C95" i="1"/>
  <c r="D95" i="1"/>
  <c r="E95" i="1"/>
  <c r="F95" i="1"/>
  <c r="G95" i="1"/>
  <c r="C99" i="1"/>
  <c r="B99" i="1"/>
  <c r="F99" i="1"/>
  <c r="C101" i="1"/>
  <c r="E101" i="1"/>
  <c r="G101" i="1"/>
  <c r="C105" i="1"/>
  <c r="B105" i="1"/>
  <c r="F105" i="1"/>
  <c r="B108" i="1"/>
  <c r="F108" i="1"/>
  <c r="D108" i="1"/>
  <c r="E108" i="1"/>
  <c r="G108" i="1"/>
  <c r="H12" i="1"/>
  <c r="I12" i="1"/>
  <c r="J12" i="1"/>
  <c r="L12" i="1"/>
  <c r="M12" i="1"/>
  <c r="N13" i="1"/>
  <c r="N14" i="1"/>
  <c r="N16" i="1"/>
  <c r="N17" i="1"/>
  <c r="H19" i="1"/>
  <c r="I19" i="1"/>
  <c r="J19" i="1"/>
  <c r="K19" i="1"/>
  <c r="L19" i="1"/>
  <c r="N20" i="1"/>
  <c r="M19" i="1"/>
  <c r="N21" i="1"/>
  <c r="N22" i="1"/>
  <c r="H24" i="1"/>
  <c r="I24" i="1"/>
  <c r="J24" i="1"/>
  <c r="K24" i="1"/>
  <c r="L24" i="1"/>
  <c r="N26" i="1"/>
  <c r="N27" i="1"/>
  <c r="N28" i="1"/>
  <c r="N29" i="1"/>
  <c r="N30" i="1"/>
  <c r="H31" i="1"/>
  <c r="I31" i="1"/>
  <c r="J31" i="1"/>
  <c r="K31" i="1"/>
  <c r="L31" i="1"/>
  <c r="M31" i="1"/>
  <c r="N33" i="1"/>
  <c r="N34" i="1"/>
  <c r="H35" i="1"/>
  <c r="I35" i="1"/>
  <c r="J35" i="1"/>
  <c r="K35" i="1"/>
  <c r="L35" i="1"/>
  <c r="M35" i="1"/>
  <c r="N36" i="1"/>
  <c r="N37" i="1"/>
  <c r="N38" i="1"/>
  <c r="N39" i="1"/>
  <c r="I41" i="1"/>
  <c r="K41" i="1"/>
  <c r="L41" i="1"/>
  <c r="N42" i="1"/>
  <c r="J41" i="1"/>
  <c r="M41" i="1"/>
  <c r="H41" i="1"/>
  <c r="N45" i="1"/>
  <c r="H47" i="1"/>
  <c r="I47" i="1"/>
  <c r="J47" i="1"/>
  <c r="K47" i="1"/>
  <c r="L47" i="1"/>
  <c r="M47" i="1"/>
  <c r="N48" i="1"/>
  <c r="N49" i="1"/>
  <c r="H51" i="1"/>
  <c r="I51" i="1"/>
  <c r="J51" i="1"/>
  <c r="K51" i="1"/>
  <c r="L51" i="1"/>
  <c r="M51" i="1"/>
  <c r="N53" i="1"/>
  <c r="N55" i="1"/>
  <c r="H58" i="1"/>
  <c r="I58" i="1"/>
  <c r="K58" i="1"/>
  <c r="L58" i="1"/>
  <c r="M58" i="1"/>
  <c r="N59" i="1"/>
  <c r="N60" i="1"/>
  <c r="J58" i="1"/>
  <c r="N62" i="1"/>
  <c r="N63" i="1"/>
  <c r="N64" i="1"/>
  <c r="N65" i="1"/>
  <c r="N67" i="1"/>
  <c r="K66" i="1"/>
  <c r="M66" i="1"/>
  <c r="L66" i="1"/>
  <c r="N70" i="1"/>
  <c r="N72" i="1"/>
  <c r="H80" i="1"/>
  <c r="I80" i="1"/>
  <c r="J80" i="1"/>
  <c r="K80" i="1"/>
  <c r="L80" i="1"/>
  <c r="M80" i="1"/>
  <c r="N81" i="1"/>
  <c r="N80" i="1" s="1"/>
  <c r="K82" i="1"/>
  <c r="H95" i="1"/>
  <c r="I95" i="1"/>
  <c r="J95" i="1"/>
  <c r="K95" i="1"/>
  <c r="L95" i="1"/>
  <c r="M95" i="1"/>
  <c r="N96" i="1"/>
  <c r="N97" i="1"/>
  <c r="N95" i="1" s="1"/>
  <c r="H99" i="1"/>
  <c r="J99" i="1"/>
  <c r="M99" i="1"/>
  <c r="I99" i="1"/>
  <c r="K99" i="1"/>
  <c r="H101" i="1"/>
  <c r="I101" i="1"/>
  <c r="J101" i="1"/>
  <c r="L101" i="1"/>
  <c r="M101" i="1"/>
  <c r="K101" i="1"/>
  <c r="I105" i="1"/>
  <c r="K105" i="1"/>
  <c r="M105" i="1"/>
  <c r="J105" i="1"/>
  <c r="L105" i="1"/>
  <c r="H108" i="1"/>
  <c r="J108" i="1"/>
  <c r="M108" i="1"/>
  <c r="I108" i="1"/>
  <c r="L108" i="1"/>
  <c r="K108" i="1"/>
  <c r="N116" i="1"/>
  <c r="N121" i="1"/>
  <c r="B131" i="1"/>
  <c r="B130" i="1" s="1"/>
  <c r="J131" i="1"/>
  <c r="J130" i="1" s="1"/>
  <c r="J129" i="1" s="1"/>
  <c r="K131" i="1"/>
  <c r="L131" i="1"/>
  <c r="L130" i="1" s="1"/>
  <c r="B132" i="1"/>
  <c r="N132" i="1" s="1"/>
  <c r="C132" i="1"/>
  <c r="D132" i="1"/>
  <c r="E132" i="1"/>
  <c r="F132" i="1"/>
  <c r="G132" i="1"/>
  <c r="H132" i="1"/>
  <c r="I132" i="1"/>
  <c r="J132" i="1"/>
  <c r="K132" i="1"/>
  <c r="L132" i="1"/>
  <c r="M132" i="1"/>
  <c r="B133" i="1"/>
  <c r="E133" i="1"/>
  <c r="H133" i="1"/>
  <c r="J133" i="1"/>
  <c r="K133" i="1"/>
  <c r="K130" i="1" s="1"/>
  <c r="N134" i="1"/>
  <c r="B135" i="1"/>
  <c r="N135" i="1" s="1"/>
  <c r="C135" i="1"/>
  <c r="D135" i="1"/>
  <c r="F135" i="1"/>
  <c r="G135" i="1"/>
  <c r="I135" i="1"/>
  <c r="J135" i="1"/>
  <c r="K135" i="1"/>
  <c r="L135" i="1"/>
  <c r="M135" i="1"/>
  <c r="E136" i="1"/>
  <c r="E135" i="1" s="1"/>
  <c r="F136" i="1"/>
  <c r="G136" i="1"/>
  <c r="H136" i="1"/>
  <c r="H135" i="1" s="1"/>
  <c r="M136" i="1"/>
  <c r="G137" i="1"/>
  <c r="I137" i="1"/>
  <c r="B138" i="1"/>
  <c r="N138" i="1" s="1"/>
  <c r="C138" i="1"/>
  <c r="D138" i="1"/>
  <c r="D137" i="1" s="1"/>
  <c r="E138" i="1"/>
  <c r="F138" i="1"/>
  <c r="G138" i="1"/>
  <c r="H138" i="1"/>
  <c r="I138" i="1"/>
  <c r="J138" i="1"/>
  <c r="K138" i="1"/>
  <c r="L138" i="1"/>
  <c r="L137" i="1" s="1"/>
  <c r="M138" i="1"/>
  <c r="N139" i="1"/>
  <c r="N140" i="1"/>
  <c r="C141" i="1"/>
  <c r="C137" i="1" s="1"/>
  <c r="D141" i="1"/>
  <c r="E141" i="1"/>
  <c r="E137" i="1" s="1"/>
  <c r="F141" i="1"/>
  <c r="F137" i="1" s="1"/>
  <c r="G141" i="1"/>
  <c r="H141" i="1"/>
  <c r="H137" i="1" s="1"/>
  <c r="I141" i="1"/>
  <c r="J141" i="1"/>
  <c r="J137" i="1" s="1"/>
  <c r="K141" i="1"/>
  <c r="K137" i="1" s="1"/>
  <c r="L141" i="1"/>
  <c r="M141" i="1"/>
  <c r="M137" i="1" s="1"/>
  <c r="B142" i="1"/>
  <c r="N142" i="1" s="1"/>
  <c r="C142" i="1"/>
  <c r="N143" i="1"/>
  <c r="B144" i="1"/>
  <c r="D144" i="1"/>
  <c r="J144" i="1"/>
  <c r="J127" i="1" s="1"/>
  <c r="L144" i="1"/>
  <c r="B145" i="1"/>
  <c r="N145" i="1" s="1"/>
  <c r="C145" i="1"/>
  <c r="C144" i="1" s="1"/>
  <c r="D145" i="1"/>
  <c r="E145" i="1"/>
  <c r="E144" i="1" s="1"/>
  <c r="F145" i="1"/>
  <c r="G145" i="1"/>
  <c r="G144" i="1" s="1"/>
  <c r="H145" i="1"/>
  <c r="H144" i="1" s="1"/>
  <c r="H127" i="1" s="1"/>
  <c r="H125" i="1" s="1"/>
  <c r="I145" i="1"/>
  <c r="I144" i="1" s="1"/>
  <c r="J145" i="1"/>
  <c r="K145" i="1"/>
  <c r="K144" i="1" s="1"/>
  <c r="L145" i="1"/>
  <c r="M145" i="1"/>
  <c r="M144" i="1" s="1"/>
  <c r="N146" i="1"/>
  <c r="N147" i="1"/>
  <c r="B148" i="1"/>
  <c r="C148" i="1"/>
  <c r="D148" i="1"/>
  <c r="E148" i="1"/>
  <c r="F148" i="1"/>
  <c r="F144" i="1" s="1"/>
  <c r="G148" i="1"/>
  <c r="H148" i="1"/>
  <c r="I148" i="1"/>
  <c r="J148" i="1"/>
  <c r="K148" i="1"/>
  <c r="L148" i="1"/>
  <c r="M148" i="1"/>
  <c r="N148" i="1"/>
  <c r="N149" i="1"/>
  <c r="N150" i="1"/>
  <c r="B152" i="1"/>
  <c r="C152" i="1"/>
  <c r="D152" i="1"/>
  <c r="E152" i="1"/>
  <c r="F152" i="1"/>
  <c r="G152" i="1"/>
  <c r="H152" i="1"/>
  <c r="I152" i="1"/>
  <c r="J152" i="1"/>
  <c r="L152" i="1"/>
  <c r="K153" i="1"/>
  <c r="K152" i="1" s="1"/>
  <c r="M153" i="1"/>
  <c r="M152" i="1" s="1"/>
  <c r="N154" i="1"/>
  <c r="N155" i="1"/>
  <c r="N156" i="1"/>
  <c r="D157" i="1"/>
  <c r="F157" i="1"/>
  <c r="H157" i="1"/>
  <c r="B158" i="1"/>
  <c r="B157" i="1" s="1"/>
  <c r="C158" i="1"/>
  <c r="C157" i="1" s="1"/>
  <c r="D158" i="1"/>
  <c r="E158" i="1"/>
  <c r="E157" i="1" s="1"/>
  <c r="F158" i="1"/>
  <c r="G158" i="1"/>
  <c r="G157" i="1" s="1"/>
  <c r="H158" i="1"/>
  <c r="I158" i="1"/>
  <c r="I157" i="1" s="1"/>
  <c r="J158" i="1"/>
  <c r="J157" i="1" s="1"/>
  <c r="K158" i="1"/>
  <c r="K157" i="1" s="1"/>
  <c r="L159" i="1"/>
  <c r="L158" i="1" s="1"/>
  <c r="L157" i="1" s="1"/>
  <c r="M159" i="1"/>
  <c r="M158" i="1" s="1"/>
  <c r="M157" i="1" s="1"/>
  <c r="N160" i="1"/>
  <c r="M162" i="1"/>
  <c r="N162" i="1" s="1"/>
  <c r="N159" i="1" s="1"/>
  <c r="N158" i="1" s="1"/>
  <c r="N157" i="1" s="1"/>
  <c r="N164" i="1"/>
  <c r="C165" i="1"/>
  <c r="C131" i="1" s="1"/>
  <c r="C130" i="1" s="1"/>
  <c r="C129" i="1" s="1"/>
  <c r="D165" i="1"/>
  <c r="D131" i="1" s="1"/>
  <c r="D130" i="1" s="1"/>
  <c r="E165" i="1"/>
  <c r="E131" i="1" s="1"/>
  <c r="E130" i="1" s="1"/>
  <c r="E129" i="1" s="1"/>
  <c r="F165" i="1"/>
  <c r="F131" i="1" s="1"/>
  <c r="G165" i="1"/>
  <c r="G131" i="1" s="1"/>
  <c r="G130" i="1" s="1"/>
  <c r="G129" i="1" s="1"/>
  <c r="H165" i="1"/>
  <c r="H131" i="1" s="1"/>
  <c r="H130" i="1" s="1"/>
  <c r="H129" i="1" s="1"/>
  <c r="I165" i="1"/>
  <c r="I131" i="1" s="1"/>
  <c r="J165" i="1"/>
  <c r="L165" i="1"/>
  <c r="M165" i="1"/>
  <c r="M131" i="1" s="1"/>
  <c r="N165" i="1"/>
  <c r="N166" i="1"/>
  <c r="C168" i="1"/>
  <c r="C133" i="1" s="1"/>
  <c r="D168" i="1"/>
  <c r="D133" i="1" s="1"/>
  <c r="F168" i="1"/>
  <c r="F133" i="1" s="1"/>
  <c r="G168" i="1"/>
  <c r="G133" i="1" s="1"/>
  <c r="H168" i="1"/>
  <c r="I168" i="1"/>
  <c r="I133" i="1" s="1"/>
  <c r="J168" i="1"/>
  <c r="L168" i="1"/>
  <c r="L133" i="1" s="1"/>
  <c r="M168" i="1"/>
  <c r="M133" i="1" s="1"/>
  <c r="N168" i="1"/>
  <c r="N169" i="1"/>
  <c r="N6" i="1"/>
  <c r="N92" i="1" l="1"/>
  <c r="N93" i="1"/>
  <c r="N113" i="1"/>
  <c r="N117" i="1"/>
  <c r="N118" i="1"/>
  <c r="N119" i="1"/>
  <c r="K79" i="1"/>
  <c r="K77" i="1" s="1"/>
  <c r="M79" i="1"/>
  <c r="M77" i="1" s="1"/>
  <c r="C57" i="1"/>
  <c r="G57" i="1"/>
  <c r="F57" i="1"/>
  <c r="J57" i="1"/>
  <c r="D57" i="1"/>
  <c r="L57" i="1"/>
  <c r="K57" i="1"/>
  <c r="B57" i="1"/>
  <c r="L10" i="1"/>
  <c r="D10" i="1"/>
  <c r="N25" i="1"/>
  <c r="I10" i="1"/>
  <c r="I8" i="1" s="1"/>
  <c r="G10" i="1"/>
  <c r="N15" i="1"/>
  <c r="N12" i="1" s="1"/>
  <c r="B10" i="1"/>
  <c r="E57" i="1"/>
  <c r="C10" i="1"/>
  <c r="C8" i="1" s="1"/>
  <c r="C79" i="1"/>
  <c r="C77" i="1" s="1"/>
  <c r="B79" i="1"/>
  <c r="B77" i="1" s="1"/>
  <c r="E79" i="1"/>
  <c r="E77" i="1" s="1"/>
  <c r="F10" i="1"/>
  <c r="D79" i="1"/>
  <c r="D77" i="1" s="1"/>
  <c r="F79" i="1"/>
  <c r="F77" i="1" s="1"/>
  <c r="E10" i="1"/>
  <c r="N106" i="1"/>
  <c r="N44" i="1"/>
  <c r="N35" i="1"/>
  <c r="G82" i="1"/>
  <c r="G79" i="1" s="1"/>
  <c r="G77" i="1" s="1"/>
  <c r="N47" i="1"/>
  <c r="N32" i="1"/>
  <c r="N31" i="1" s="1"/>
  <c r="N19" i="1"/>
  <c r="N115" i="1"/>
  <c r="N24" i="1"/>
  <c r="N112" i="1"/>
  <c r="N100" i="1"/>
  <c r="N99" i="1" s="1"/>
  <c r="N84" i="1"/>
  <c r="N114" i="1"/>
  <c r="N103" i="1"/>
  <c r="J125" i="1"/>
  <c r="G127" i="1"/>
  <c r="G125" i="1" s="1"/>
  <c r="K129" i="1"/>
  <c r="H79" i="1"/>
  <c r="H77" i="1" s="1"/>
  <c r="J79" i="1"/>
  <c r="J77" i="1" s="1"/>
  <c r="I130" i="1"/>
  <c r="I129" i="1" s="1"/>
  <c r="I125" i="1"/>
  <c r="N144" i="1"/>
  <c r="L129" i="1"/>
  <c r="I79" i="1"/>
  <c r="I77" i="1" s="1"/>
  <c r="E127" i="1"/>
  <c r="E125" i="1" s="1"/>
  <c r="M57" i="1"/>
  <c r="H10" i="1"/>
  <c r="F130" i="1"/>
  <c r="F129" i="1" s="1"/>
  <c r="F127" i="1" s="1"/>
  <c r="F125" i="1" s="1"/>
  <c r="K127" i="1"/>
  <c r="C127" i="1"/>
  <c r="N133" i="1"/>
  <c r="N130" i="1"/>
  <c r="N105" i="1"/>
  <c r="J10" i="1"/>
  <c r="J8" i="1" s="1"/>
  <c r="C125" i="1"/>
  <c r="M130" i="1"/>
  <c r="M129" i="1" s="1"/>
  <c r="M127" i="1" s="1"/>
  <c r="M125" i="1" s="1"/>
  <c r="D129" i="1"/>
  <c r="D127" i="1" s="1"/>
  <c r="D125" i="1" s="1"/>
  <c r="K125" i="1"/>
  <c r="I127" i="1"/>
  <c r="L127" i="1"/>
  <c r="L125" i="1" s="1"/>
  <c r="L79" i="1"/>
  <c r="L77" i="1" s="1"/>
  <c r="H57" i="1"/>
  <c r="M10" i="1"/>
  <c r="N153" i="1"/>
  <c r="N152" i="1" s="1"/>
  <c r="N136" i="1"/>
  <c r="N83" i="1"/>
  <c r="N69" i="1"/>
  <c r="N43" i="1"/>
  <c r="N111" i="1"/>
  <c r="B141" i="1"/>
  <c r="N110" i="1"/>
  <c r="N102" i="1"/>
  <c r="N109" i="1"/>
  <c r="N61" i="1"/>
  <c r="N58" i="1" s="1"/>
  <c r="N52" i="1"/>
  <c r="N51" i="1" s="1"/>
  <c r="K12" i="1"/>
  <c r="K10" i="1" s="1"/>
  <c r="N68" i="1"/>
  <c r="N131" i="1"/>
  <c r="L8" i="1" l="1"/>
  <c r="L123" i="1" s="1"/>
  <c r="C123" i="1"/>
  <c r="B8" i="1"/>
  <c r="M8" i="1"/>
  <c r="M123" i="1" s="1"/>
  <c r="F8" i="1"/>
  <c r="F123" i="1" s="1"/>
  <c r="G8" i="1"/>
  <c r="G123" i="1" s="1"/>
  <c r="N66" i="1"/>
  <c r="K8" i="1"/>
  <c r="K123" i="1" s="1"/>
  <c r="D8" i="1"/>
  <c r="D123" i="1" s="1"/>
  <c r="H8" i="1"/>
  <c r="H123" i="1" s="1"/>
  <c r="I4" i="1"/>
  <c r="B123" i="1"/>
  <c r="N101" i="1"/>
  <c r="E8" i="1"/>
  <c r="E123" i="1" s="1"/>
  <c r="N41" i="1"/>
  <c r="N10" i="1" s="1"/>
  <c r="N82" i="1"/>
  <c r="N108" i="1"/>
  <c r="N79" i="1"/>
  <c r="N77" i="1" s="1"/>
  <c r="N57" i="1"/>
  <c r="I123" i="1"/>
  <c r="B137" i="1"/>
  <c r="N141" i="1"/>
  <c r="J123" i="1"/>
  <c r="E4" i="1"/>
  <c r="D4" i="1"/>
  <c r="F4" i="1"/>
  <c r="H4" i="1"/>
  <c r="L4" i="1"/>
  <c r="J4" i="1"/>
  <c r="O80" i="1"/>
  <c r="G4" i="1"/>
  <c r="C4" i="1"/>
  <c r="K4" i="1"/>
  <c r="P80" i="1"/>
  <c r="P77" i="1"/>
  <c r="N137" i="1" l="1"/>
  <c r="B129" i="1"/>
  <c r="N123" i="1"/>
  <c r="N8" i="1"/>
  <c r="B4" i="1"/>
  <c r="O77" i="1"/>
  <c r="O76" i="1" s="1"/>
  <c r="O84" i="1" s="1"/>
  <c r="N4" i="1"/>
  <c r="M4" i="1"/>
  <c r="N129" i="1" l="1"/>
  <c r="B127" i="1"/>
  <c r="O82" i="1"/>
  <c r="N127" i="1" l="1"/>
  <c r="B125" i="1"/>
  <c r="N1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</author>
  </authors>
  <commentList>
    <comment ref="D67" authorId="0" shapeId="0" xr:uid="{850E22F6-2E97-4805-B20F-F4263F003B72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GMB SALES
</t>
        </r>
      </text>
    </comment>
    <comment ref="F67" authorId="0" shapeId="0" xr:uid="{F329B581-6A99-40E2-8DE9-D520D661F242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sales of grain by GMB
</t>
        </r>
      </text>
    </comment>
    <comment ref="A109" authorId="0" shapeId="0" xr:uid="{0961BE1B-51B9-4AB5-82C1-91F5C75F90D7}">
      <text>
        <r>
          <rPr>
            <b/>
            <sz val="9"/>
            <color indexed="81"/>
            <rFont val="Tahoma"/>
            <family val="2"/>
          </rPr>
          <t>usr:</t>
        </r>
        <r>
          <rPr>
            <sz val="9"/>
            <color indexed="81"/>
            <rFont val="Tahoma"/>
            <family val="2"/>
          </rPr>
          <t xml:space="preserve">
this falls under grants</t>
        </r>
      </text>
    </comment>
  </commentList>
</comments>
</file>

<file path=xl/sharedStrings.xml><?xml version="1.0" encoding="utf-8"?>
<sst xmlns="http://schemas.openxmlformats.org/spreadsheetml/2006/main" count="169" uniqueCount="136">
  <si>
    <t>Item</t>
  </si>
  <si>
    <t>Actual</t>
  </si>
  <si>
    <t>ZWL$</t>
  </si>
  <si>
    <t>Total Government Revenue (Net)</t>
  </si>
  <si>
    <t>ZIMRA Retention</t>
  </si>
  <si>
    <t xml:space="preserve">Total Revenue </t>
  </si>
  <si>
    <t>Tax Revenue</t>
  </si>
  <si>
    <t>Tax on Income and Profits</t>
  </si>
  <si>
    <t xml:space="preserve"> Individuals</t>
  </si>
  <si>
    <t xml:space="preserve"> Companies</t>
  </si>
  <si>
    <t xml:space="preserve"> Domestic dividend and interest</t>
  </si>
  <si>
    <t xml:space="preserve">other income taxes </t>
  </si>
  <si>
    <t xml:space="preserve">Presumptive tax </t>
  </si>
  <si>
    <t>Customs duties</t>
  </si>
  <si>
    <t xml:space="preserve"> Oil products</t>
  </si>
  <si>
    <t xml:space="preserve"> Other(Prime &amp;Surtax)</t>
  </si>
  <si>
    <t>Refunds Duty</t>
  </si>
  <si>
    <t>Excise duties</t>
  </si>
  <si>
    <t>Beer</t>
  </si>
  <si>
    <t>Wines and Spirits</t>
  </si>
  <si>
    <t>Tobacco</t>
  </si>
  <si>
    <t>Second Hand Motors Vehicles</t>
  </si>
  <si>
    <t>Fuels</t>
  </si>
  <si>
    <t>Electric lamp</t>
  </si>
  <si>
    <t>Taxes on Specific Services</t>
  </si>
  <si>
    <t>Business Licences</t>
  </si>
  <si>
    <t>Energy Taxes -Carbon Tax</t>
  </si>
  <si>
    <t>Fuel levy (4 cents diesel levy)</t>
  </si>
  <si>
    <t>Value Added Tax (VAT)</t>
  </si>
  <si>
    <t>VAT on Domestic Goods</t>
  </si>
  <si>
    <t>VAT on Withholding Tax</t>
  </si>
  <si>
    <t>Imported Goods &amp; Services</t>
  </si>
  <si>
    <t xml:space="preserve">Refunds </t>
  </si>
  <si>
    <t>tax on gross Revenue</t>
  </si>
  <si>
    <t xml:space="preserve"> Tobacco Levy</t>
  </si>
  <si>
    <t>Royalties-mining</t>
  </si>
  <si>
    <t>Airtime( including Health levy)</t>
  </si>
  <si>
    <t xml:space="preserve">withholding tax on Tenders </t>
  </si>
  <si>
    <t xml:space="preserve">Taxes on financial and capital  transactions </t>
  </si>
  <si>
    <t xml:space="preserve">IMTT </t>
  </si>
  <si>
    <t>ATM Levy</t>
  </si>
  <si>
    <t xml:space="preserve">Other Indirect taxes </t>
  </si>
  <si>
    <t xml:space="preserve">Stamp duty </t>
  </si>
  <si>
    <t xml:space="preserve"> Other indirect taxes</t>
  </si>
  <si>
    <t>Grants</t>
  </si>
  <si>
    <t>Non-tax Revenue</t>
  </si>
  <si>
    <t xml:space="preserve">Property income </t>
  </si>
  <si>
    <t>Interest</t>
  </si>
  <si>
    <t xml:space="preserve">Dividends </t>
  </si>
  <si>
    <t>Withdrawals quasi -corporations</t>
  </si>
  <si>
    <t>Pension Contribution</t>
  </si>
  <si>
    <t>Rent</t>
  </si>
  <si>
    <t>Reinvested earnings on FDI</t>
  </si>
  <si>
    <t xml:space="preserve">Sales of Goods and Services </t>
  </si>
  <si>
    <t xml:space="preserve">sales of market Establishments </t>
  </si>
  <si>
    <t xml:space="preserve">Administrative fees </t>
  </si>
  <si>
    <t>Incidental sale By Non market Establishments</t>
  </si>
  <si>
    <t xml:space="preserve">Imputed sales of goods and services </t>
  </si>
  <si>
    <t>Rentals</t>
  </si>
  <si>
    <t xml:space="preserve">Fines ,penalties and forfeits </t>
  </si>
  <si>
    <t xml:space="preserve">Total Expenditure </t>
  </si>
  <si>
    <t>Expenses</t>
  </si>
  <si>
    <t>compensation of Employees</t>
  </si>
  <si>
    <t>Use of Goods and Services</t>
  </si>
  <si>
    <t>Domestic Travel Expenses</t>
  </si>
  <si>
    <t>Foreign Travel Expenses</t>
  </si>
  <si>
    <t>Communication, Supplies and Services</t>
  </si>
  <si>
    <t>Education supplies and Services</t>
  </si>
  <si>
    <t>Medical Supplies and services</t>
  </si>
  <si>
    <t>Office supplies and services</t>
  </si>
  <si>
    <t>Training expenses</t>
  </si>
  <si>
    <t>Rental and other service charges</t>
  </si>
  <si>
    <t>Institutional provisions</t>
  </si>
  <si>
    <t xml:space="preserve"> Other Good and Services</t>
  </si>
  <si>
    <t xml:space="preserve"> Maintenance</t>
  </si>
  <si>
    <t>Interest on debt</t>
  </si>
  <si>
    <t xml:space="preserve"> Foreign</t>
  </si>
  <si>
    <t xml:space="preserve"> Domestic</t>
  </si>
  <si>
    <t>Subsidies</t>
  </si>
  <si>
    <t>Subsidy</t>
  </si>
  <si>
    <t xml:space="preserve">Grants </t>
  </si>
  <si>
    <t>o/w extra budgetary units -salaries</t>
  </si>
  <si>
    <t xml:space="preserve">                                     - operations</t>
  </si>
  <si>
    <t xml:space="preserve">Social Benefits </t>
  </si>
  <si>
    <t>Other  Expenses</t>
  </si>
  <si>
    <t>Transfers to Provincial Councils and local Authorities</t>
  </si>
  <si>
    <t>Foreign Transfers</t>
  </si>
  <si>
    <t xml:space="preserve"> Non Financial &amp; Financial Assets</t>
  </si>
  <si>
    <t>Building and Structures</t>
  </si>
  <si>
    <t xml:space="preserve">Machinery and Equipment </t>
  </si>
  <si>
    <t>Other fixed assets</t>
  </si>
  <si>
    <t>Inventories</t>
  </si>
  <si>
    <t>Valuables</t>
  </si>
  <si>
    <t>Non produced Assets</t>
  </si>
  <si>
    <t>Capital Grants to other General Gvt units</t>
  </si>
  <si>
    <t xml:space="preserve">Loans </t>
  </si>
  <si>
    <t>Equity and Investments Fund Shares</t>
  </si>
  <si>
    <t>Standadised Guarantee Schemes</t>
  </si>
  <si>
    <t>Surplus/Deficit</t>
  </si>
  <si>
    <t>Financing</t>
  </si>
  <si>
    <t>Domestic Financing (net)</t>
  </si>
  <si>
    <t>Banks (net)</t>
  </si>
  <si>
    <t>Mobilisation</t>
  </si>
  <si>
    <t>Changes in Government Deposits (current accounts)</t>
  </si>
  <si>
    <t>Changes in Government Deposits (fixed deposits)</t>
  </si>
  <si>
    <t xml:space="preserve">Changes in ZIMRA  Bank Accounts </t>
  </si>
  <si>
    <t>Currency Holding Gains/Loses</t>
  </si>
  <si>
    <t>Treasury Bills</t>
  </si>
  <si>
    <t xml:space="preserve">Issuances (TBs) </t>
  </si>
  <si>
    <t>Repayments</t>
  </si>
  <si>
    <t>Loans</t>
  </si>
  <si>
    <t>Central Bank - Loans</t>
  </si>
  <si>
    <t>Other - Loans</t>
  </si>
  <si>
    <t xml:space="preserve">Maturities (TBs) </t>
  </si>
  <si>
    <t>Non Bank (net)</t>
  </si>
  <si>
    <t xml:space="preserve">Treasury Bills </t>
  </si>
  <si>
    <t>Treasury bills</t>
  </si>
  <si>
    <t xml:space="preserve">Foreign Financing (net)    </t>
  </si>
  <si>
    <t>SDR Liquidation</t>
  </si>
  <si>
    <t xml:space="preserve"> Borrowings</t>
  </si>
  <si>
    <t xml:space="preserve"> Repayments</t>
  </si>
  <si>
    <t xml:space="preserve"> </t>
  </si>
  <si>
    <t>Other Financing (net)</t>
  </si>
  <si>
    <t>Zimra prepayments &amp; unreceipted funds</t>
  </si>
  <si>
    <t>Temporary deposits</t>
  </si>
  <si>
    <t>Out standing payments</t>
  </si>
  <si>
    <t>Memorandum Items</t>
  </si>
  <si>
    <t>BREAKDOWN OF BANK BALANCES</t>
  </si>
  <si>
    <t>Opening Bank Balances</t>
  </si>
  <si>
    <t>Closing Bank Balances</t>
  </si>
  <si>
    <t xml:space="preserve">Breakdown of ZIMRA bank balances </t>
  </si>
  <si>
    <t>Opening  Balances</t>
  </si>
  <si>
    <t>Closing  Balances</t>
  </si>
  <si>
    <t xml:space="preserve">Breakdown of fixed deposits bank balances </t>
  </si>
  <si>
    <t xml:space="preserve">Note </t>
  </si>
  <si>
    <t>Cumulative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</si>
</sst>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_);_(* \(#,##0.0\);_(* &quot;-&quot;??_);_(@_)"/>
    <numFmt numFmtId="165" formatCode="_(* #,##0.00_);_(* \(#,##0.00\);_(* &quot;-&quot;??_);_(@_)"/>
    <numFmt numFmtId="166" formatCode="_(* #,##0_);_(* \(#,##0\);_(* &quot;-&quot;??_);_(@_)"/>
    <numFmt numFmtId="167" formatCode="0.0_)"/>
    <numFmt numFmtId="168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0000CC"/>
      <name val="Arial Narrow"/>
      <family val="2"/>
    </font>
    <font>
      <sz val="8"/>
      <color theme="1"/>
      <name val="Arial Narrow"/>
      <family val="2"/>
    </font>
    <font>
      <sz val="8"/>
      <color rgb="FF0000CC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FF0000"/>
      <name val="Arial Narrow"/>
      <family val="2"/>
    </font>
    <font>
      <sz val="8"/>
      <color rgb="FF333333"/>
      <name val="Arial Narrow"/>
      <family val="2"/>
    </font>
    <font>
      <sz val="8"/>
      <color theme="2" tint="-0.89999084444715716"/>
      <name val="Arial Narrow"/>
      <family val="2"/>
    </font>
    <font>
      <b/>
      <sz val="8"/>
      <color theme="2" tint="-0.8999908444471571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81FC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5" fillId="0" borderId="0" xfId="0" applyFont="1"/>
    <xf numFmtId="17" fontId="4" fillId="2" borderId="6" xfId="0" quotePrefix="1" applyNumberFormat="1" applyFont="1" applyFill="1" applyBorder="1" applyAlignment="1">
      <alignment horizontal="center"/>
    </xf>
    <xf numFmtId="17" fontId="4" fillId="2" borderId="2" xfId="0" quotePrefix="1" applyNumberFormat="1" applyFont="1" applyFill="1" applyBorder="1" applyAlignment="1">
      <alignment horizontal="center"/>
    </xf>
    <xf numFmtId="17" fontId="4" fillId="2" borderId="4" xfId="0" applyNumberFormat="1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/>
    </xf>
    <xf numFmtId="17" fontId="4" fillId="2" borderId="3" xfId="0" applyNumberFormat="1" applyFont="1" applyFill="1" applyBorder="1" applyAlignment="1">
      <alignment horizontal="center"/>
    </xf>
    <xf numFmtId="17" fontId="4" fillId="2" borderId="2" xfId="0" applyNumberFormat="1" applyFont="1" applyFill="1" applyBorder="1" applyAlignment="1">
      <alignment horizontal="center" wrapText="1"/>
    </xf>
    <xf numFmtId="167" fontId="4" fillId="2" borderId="4" xfId="0" applyNumberFormat="1" applyFont="1" applyFill="1" applyBorder="1" applyAlignment="1">
      <alignment horizontal="left" wrapText="1"/>
    </xf>
    <xf numFmtId="166" fontId="4" fillId="2" borderId="2" xfId="1" applyNumberFormat="1" applyFont="1" applyFill="1" applyBorder="1"/>
    <xf numFmtId="166" fontId="4" fillId="2" borderId="4" xfId="1" applyNumberFormat="1" applyFont="1" applyFill="1" applyBorder="1"/>
    <xf numFmtId="166" fontId="4" fillId="2" borderId="3" xfId="1" applyNumberFormat="1" applyFont="1" applyFill="1" applyBorder="1"/>
    <xf numFmtId="165" fontId="4" fillId="0" borderId="1" xfId="0" applyNumberFormat="1" applyFont="1" applyBorder="1" applyAlignment="1">
      <alignment wrapText="1"/>
    </xf>
    <xf numFmtId="166" fontId="4" fillId="0" borderId="8" xfId="3" applyNumberFormat="1" applyFont="1" applyBorder="1"/>
    <xf numFmtId="166" fontId="4" fillId="0" borderId="0" xfId="3" applyNumberFormat="1" applyFont="1"/>
    <xf numFmtId="166" fontId="4" fillId="0" borderId="8" xfId="1" applyNumberFormat="1" applyFont="1" applyBorder="1"/>
    <xf numFmtId="166" fontId="4" fillId="0" borderId="0" xfId="1" applyNumberFormat="1" applyFont="1"/>
    <xf numFmtId="166" fontId="4" fillId="0" borderId="8" xfId="4" applyNumberFormat="1" applyFont="1" applyBorder="1"/>
    <xf numFmtId="0" fontId="6" fillId="0" borderId="0" xfId="0" applyFont="1"/>
    <xf numFmtId="167" fontId="7" fillId="3" borderId="4" xfId="0" applyNumberFormat="1" applyFont="1" applyFill="1" applyBorder="1" applyAlignment="1">
      <alignment horizontal="left" wrapText="1"/>
    </xf>
    <xf numFmtId="166" fontId="7" fillId="3" borderId="2" xfId="0" applyNumberFormat="1" applyFont="1" applyFill="1" applyBorder="1"/>
    <xf numFmtId="166" fontId="7" fillId="3" borderId="4" xfId="0" applyNumberFormat="1" applyFont="1" applyFill="1" applyBorder="1"/>
    <xf numFmtId="166" fontId="7" fillId="4" borderId="2" xfId="0" applyNumberFormat="1" applyFont="1" applyFill="1" applyBorder="1"/>
    <xf numFmtId="166" fontId="7" fillId="4" borderId="3" xfId="0" applyNumberFormat="1" applyFont="1" applyFill="1" applyBorder="1"/>
    <xf numFmtId="164" fontId="7" fillId="3" borderId="3" xfId="0" applyNumberFormat="1" applyFont="1" applyFill="1" applyBorder="1"/>
    <xf numFmtId="164" fontId="7" fillId="3" borderId="2" xfId="0" applyNumberFormat="1" applyFont="1" applyFill="1" applyBorder="1"/>
    <xf numFmtId="166" fontId="4" fillId="3" borderId="2" xfId="0" applyNumberFormat="1" applyFont="1" applyFill="1" applyBorder="1"/>
    <xf numFmtId="165" fontId="4" fillId="0" borderId="7" xfId="0" applyNumberFormat="1" applyFont="1" applyBorder="1" applyAlignment="1">
      <alignment wrapText="1"/>
    </xf>
    <xf numFmtId="167" fontId="4" fillId="5" borderId="4" xfId="0" applyNumberFormat="1" applyFont="1" applyFill="1" applyBorder="1" applyAlignment="1">
      <alignment horizontal="left" wrapText="1"/>
    </xf>
    <xf numFmtId="166" fontId="4" fillId="5" borderId="2" xfId="1" applyNumberFormat="1" applyFont="1" applyFill="1" applyBorder="1" applyAlignment="1">
      <alignment horizontal="right"/>
    </xf>
    <xf numFmtId="166" fontId="6" fillId="0" borderId="0" xfId="0" applyNumberFormat="1" applyFont="1"/>
    <xf numFmtId="165" fontId="7" fillId="3" borderId="5" xfId="0" applyNumberFormat="1" applyFont="1" applyFill="1" applyBorder="1" applyAlignment="1">
      <alignment wrapText="1"/>
    </xf>
    <xf numFmtId="166" fontId="7" fillId="3" borderId="8" xfId="1" applyNumberFormat="1" applyFont="1" applyFill="1" applyBorder="1"/>
    <xf numFmtId="166" fontId="7" fillId="3" borderId="5" xfId="1" applyNumberFormat="1" applyFont="1" applyFill="1" applyBorder="1"/>
    <xf numFmtId="166" fontId="7" fillId="3" borderId="8" xfId="3" applyNumberFormat="1" applyFont="1" applyFill="1" applyBorder="1"/>
    <xf numFmtId="166" fontId="7" fillId="4" borderId="8" xfId="3" applyNumberFormat="1" applyFont="1" applyFill="1" applyBorder="1"/>
    <xf numFmtId="166" fontId="7" fillId="3" borderId="0" xfId="1" applyNumberFormat="1" applyFont="1" applyFill="1"/>
    <xf numFmtId="166" fontId="7" fillId="3" borderId="8" xfId="4" applyNumberFormat="1" applyFont="1" applyFill="1" applyBorder="1"/>
    <xf numFmtId="166" fontId="4" fillId="3" borderId="8" xfId="1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167" fontId="8" fillId="3" borderId="9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/>
    <xf numFmtId="166" fontId="8" fillId="3" borderId="9" xfId="0" applyNumberFormat="1" applyFont="1" applyFill="1" applyBorder="1"/>
    <xf numFmtId="168" fontId="5" fillId="0" borderId="12" xfId="4" applyNumberFormat="1" applyFont="1" applyBorder="1"/>
    <xf numFmtId="166" fontId="8" fillId="4" borderId="10" xfId="0" applyNumberFormat="1" applyFont="1" applyFill="1" applyBorder="1"/>
    <xf numFmtId="166" fontId="8" fillId="3" borderId="11" xfId="0" applyNumberFormat="1" applyFont="1" applyFill="1" applyBorder="1"/>
    <xf numFmtId="166" fontId="8" fillId="3" borderId="10" xfId="0" quotePrefix="1" applyNumberFormat="1" applyFont="1" applyFill="1" applyBorder="1"/>
    <xf numFmtId="168" fontId="5" fillId="0" borderId="10" xfId="4" applyNumberFormat="1" applyFont="1" applyBorder="1"/>
    <xf numFmtId="164" fontId="8" fillId="3" borderId="11" xfId="0" applyNumberFormat="1" applyFont="1" applyFill="1" applyBorder="1"/>
    <xf numFmtId="167" fontId="8" fillId="3" borderId="13" xfId="0" applyNumberFormat="1" applyFont="1" applyFill="1" applyBorder="1" applyAlignment="1">
      <alignment horizontal="left" wrapText="1"/>
    </xf>
    <xf numFmtId="166" fontId="8" fillId="0" borderId="12" xfId="1" applyNumberFormat="1" applyFont="1" applyBorder="1"/>
    <xf numFmtId="166" fontId="8" fillId="0" borderId="10" xfId="0" applyNumberFormat="1" applyFont="1" applyBorder="1"/>
    <xf numFmtId="166" fontId="8" fillId="3" borderId="13" xfId="1" applyNumberFormat="1" applyFont="1" applyFill="1" applyBorder="1"/>
    <xf numFmtId="166" fontId="8" fillId="3" borderId="12" xfId="3" applyNumberFormat="1" applyFont="1" applyFill="1" applyBorder="1"/>
    <xf numFmtId="166" fontId="8" fillId="3" borderId="12" xfId="1" applyNumberFormat="1" applyFont="1" applyFill="1" applyBorder="1"/>
    <xf numFmtId="166" fontId="8" fillId="4" borderId="12" xfId="3" applyNumberFormat="1" applyFont="1" applyFill="1" applyBorder="1"/>
    <xf numFmtId="166" fontId="8" fillId="3" borderId="14" xfId="1" applyNumberFormat="1" applyFont="1" applyFill="1" applyBorder="1"/>
    <xf numFmtId="166" fontId="8" fillId="3" borderId="12" xfId="4" applyNumberFormat="1" applyFont="1" applyFill="1" applyBorder="1"/>
    <xf numFmtId="167" fontId="8" fillId="3" borderId="15" xfId="0" applyNumberFormat="1" applyFont="1" applyFill="1" applyBorder="1" applyAlignment="1">
      <alignment horizontal="left" wrapText="1"/>
    </xf>
    <xf numFmtId="43" fontId="5" fillId="0" borderId="12" xfId="4" applyFont="1" applyBorder="1"/>
    <xf numFmtId="168" fontId="5" fillId="0" borderId="16" xfId="4" applyNumberFormat="1" applyFont="1" applyBorder="1"/>
    <xf numFmtId="43" fontId="5" fillId="0" borderId="10" xfId="4" applyFont="1" applyBorder="1"/>
    <xf numFmtId="3" fontId="8" fillId="3" borderId="11" xfId="0" applyNumberFormat="1" applyFont="1" applyFill="1" applyBorder="1"/>
    <xf numFmtId="166" fontId="8" fillId="0" borderId="16" xfId="0" applyNumberFormat="1" applyFont="1" applyBorder="1"/>
    <xf numFmtId="166" fontId="8" fillId="3" borderId="16" xfId="0" applyNumberFormat="1" applyFont="1" applyFill="1" applyBorder="1"/>
    <xf numFmtId="166" fontId="8" fillId="3" borderId="17" xfId="1" applyNumberFormat="1" applyFont="1" applyFill="1" applyBorder="1"/>
    <xf numFmtId="166" fontId="8" fillId="3" borderId="18" xfId="0" applyNumberFormat="1" applyFont="1" applyFill="1" applyBorder="1"/>
    <xf numFmtId="166" fontId="8" fillId="3" borderId="19" xfId="0" applyNumberFormat="1" applyFont="1" applyFill="1" applyBorder="1"/>
    <xf numFmtId="166" fontId="8" fillId="3" borderId="21" xfId="0" applyNumberFormat="1" applyFont="1" applyFill="1" applyBorder="1"/>
    <xf numFmtId="168" fontId="8" fillId="3" borderId="19" xfId="0" applyNumberFormat="1" applyFont="1" applyFill="1" applyBorder="1"/>
    <xf numFmtId="166" fontId="8" fillId="4" borderId="19" xfId="0" applyNumberFormat="1" applyFont="1" applyFill="1" applyBorder="1"/>
    <xf numFmtId="166" fontId="8" fillId="3" borderId="20" xfId="0" applyNumberFormat="1" applyFont="1" applyFill="1" applyBorder="1"/>
    <xf numFmtId="164" fontId="8" fillId="3" borderId="20" xfId="0" applyNumberFormat="1" applyFont="1" applyFill="1" applyBorder="1"/>
    <xf numFmtId="167" fontId="8" fillId="3" borderId="7" xfId="0" applyNumberFormat="1" applyFont="1" applyFill="1" applyBorder="1" applyAlignment="1">
      <alignment horizontal="left" wrapText="1"/>
    </xf>
    <xf numFmtId="166" fontId="8" fillId="3" borderId="22" xfId="0" applyNumberFormat="1" applyFont="1" applyFill="1" applyBorder="1"/>
    <xf numFmtId="166" fontId="8" fillId="3" borderId="7" xfId="0" applyNumberFormat="1" applyFont="1" applyFill="1" applyBorder="1"/>
    <xf numFmtId="166" fontId="8" fillId="3" borderId="23" xfId="0" applyNumberFormat="1" applyFont="1" applyFill="1" applyBorder="1"/>
    <xf numFmtId="166" fontId="8" fillId="4" borderId="23" xfId="0" applyNumberFormat="1" applyFont="1" applyFill="1" applyBorder="1"/>
    <xf numFmtId="164" fontId="8" fillId="3" borderId="23" xfId="0" applyNumberFormat="1" applyFont="1" applyFill="1" applyBorder="1"/>
    <xf numFmtId="166" fontId="4" fillId="3" borderId="23" xfId="0" applyNumberFormat="1" applyFont="1" applyFill="1" applyBorder="1"/>
    <xf numFmtId="166" fontId="4" fillId="2" borderId="24" xfId="1" applyNumberFormat="1" applyFont="1" applyFill="1" applyBorder="1"/>
    <xf numFmtId="167" fontId="4" fillId="3" borderId="9" xfId="0" applyNumberFormat="1" applyFont="1" applyFill="1" applyBorder="1" applyAlignment="1">
      <alignment horizontal="left" wrapText="1"/>
    </xf>
    <xf numFmtId="166" fontId="4" fillId="3" borderId="10" xfId="1" applyNumberFormat="1" applyFont="1" applyFill="1" applyBorder="1"/>
    <xf numFmtId="166" fontId="4" fillId="3" borderId="9" xfId="1" applyNumberFormat="1" applyFont="1" applyFill="1" applyBorder="1"/>
    <xf numFmtId="166" fontId="5" fillId="0" borderId="8" xfId="0" applyNumberFormat="1" applyFont="1" applyBorder="1"/>
    <xf numFmtId="166" fontId="4" fillId="3" borderId="12" xfId="1" applyNumberFormat="1" applyFont="1" applyFill="1" applyBorder="1"/>
    <xf numFmtId="166" fontId="4" fillId="3" borderId="14" xfId="1" applyNumberFormat="1" applyFont="1" applyFill="1" applyBorder="1"/>
    <xf numFmtId="167" fontId="8" fillId="3" borderId="9" xfId="0" applyNumberFormat="1" applyFont="1" applyFill="1" applyBorder="1" applyAlignment="1">
      <alignment horizontal="left" wrapText="1" indent="2"/>
    </xf>
    <xf numFmtId="166" fontId="8" fillId="0" borderId="10" xfId="1" applyNumberFormat="1" applyFont="1" applyBorder="1"/>
    <xf numFmtId="166" fontId="8" fillId="3" borderId="9" xfId="1" applyNumberFormat="1" applyFont="1" applyFill="1" applyBorder="1"/>
    <xf numFmtId="166" fontId="8" fillId="3" borderId="10" xfId="3" applyNumberFormat="1" applyFont="1" applyFill="1" applyBorder="1"/>
    <xf numFmtId="166" fontId="8" fillId="3" borderId="10" xfId="1" applyNumberFormat="1" applyFont="1" applyFill="1" applyBorder="1"/>
    <xf numFmtId="166" fontId="8" fillId="4" borderId="10" xfId="3" applyNumberFormat="1" applyFont="1" applyFill="1" applyBorder="1"/>
    <xf numFmtId="166" fontId="8" fillId="3" borderId="11" xfId="1" applyNumberFormat="1" applyFont="1" applyFill="1" applyBorder="1"/>
    <xf numFmtId="166" fontId="8" fillId="3" borderId="10" xfId="4" applyNumberFormat="1" applyFont="1" applyFill="1" applyBorder="1"/>
    <xf numFmtId="167" fontId="7" fillId="3" borderId="9" xfId="0" applyNumberFormat="1" applyFont="1" applyFill="1" applyBorder="1" applyAlignment="1">
      <alignment horizontal="left" wrapText="1"/>
    </xf>
    <xf numFmtId="166" fontId="7" fillId="0" borderId="10" xfId="0" applyNumberFormat="1" applyFont="1" applyBorder="1"/>
    <xf numFmtId="166" fontId="7" fillId="3" borderId="9" xfId="0" applyNumberFormat="1" applyFont="1" applyFill="1" applyBorder="1"/>
    <xf numFmtId="164" fontId="7" fillId="0" borderId="11" xfId="0" applyNumberFormat="1" applyFont="1" applyBorder="1"/>
    <xf numFmtId="164" fontId="7" fillId="3" borderId="10" xfId="0" applyNumberFormat="1" applyFont="1" applyFill="1" applyBorder="1"/>
    <xf numFmtId="0" fontId="9" fillId="0" borderId="0" xfId="0" applyFont="1"/>
    <xf numFmtId="43" fontId="8" fillId="3" borderId="9" xfId="1" applyFont="1" applyFill="1" applyBorder="1" applyAlignment="1">
      <alignment horizontal="left" wrapText="1" indent="2"/>
    </xf>
    <xf numFmtId="0" fontId="5" fillId="0" borderId="8" xfId="0" applyFont="1" applyBorder="1"/>
    <xf numFmtId="168" fontId="5" fillId="0" borderId="26" xfId="4" applyNumberFormat="1" applyFont="1" applyBorder="1"/>
    <xf numFmtId="166" fontId="5" fillId="3" borderId="9" xfId="0" applyNumberFormat="1" applyFont="1" applyFill="1" applyBorder="1"/>
    <xf numFmtId="166" fontId="5" fillId="3" borderId="10" xfId="0" applyNumberFormat="1" applyFont="1" applyFill="1" applyBorder="1"/>
    <xf numFmtId="0" fontId="5" fillId="0" borderId="0" xfId="0" applyFont="1" applyAlignment="1">
      <alignment wrapText="1"/>
    </xf>
    <xf numFmtId="0" fontId="10" fillId="0" borderId="0" xfId="0" applyFont="1"/>
    <xf numFmtId="0" fontId="4" fillId="0" borderId="0" xfId="0" applyFont="1" applyAlignment="1">
      <alignment wrapText="1"/>
    </xf>
    <xf numFmtId="0" fontId="5" fillId="0" borderId="5" xfId="0" applyFont="1" applyBorder="1"/>
    <xf numFmtId="166" fontId="4" fillId="3" borderId="11" xfId="1" applyNumberFormat="1" applyFont="1" applyFill="1" applyBorder="1"/>
    <xf numFmtId="0" fontId="7" fillId="3" borderId="9" xfId="0" applyFont="1" applyFill="1" applyBorder="1" applyAlignment="1">
      <alignment wrapText="1"/>
    </xf>
    <xf numFmtId="166" fontId="11" fillId="3" borderId="10" xfId="1" applyNumberFormat="1" applyFont="1" applyFill="1" applyBorder="1"/>
    <xf numFmtId="166" fontId="5" fillId="0" borderId="0" xfId="0" applyNumberFormat="1" applyFont="1"/>
    <xf numFmtId="166" fontId="8" fillId="3" borderId="10" xfId="1" applyNumberFormat="1" applyFont="1" applyFill="1" applyBorder="1" applyAlignment="1">
      <alignment horizontal="right"/>
    </xf>
    <xf numFmtId="166" fontId="8" fillId="0" borderId="9" xfId="1" applyNumberFormat="1" applyFont="1" applyBorder="1" applyAlignment="1">
      <alignment horizontal="right"/>
    </xf>
    <xf numFmtId="166" fontId="8" fillId="0" borderId="10" xfId="1" applyNumberFormat="1" applyFont="1" applyBorder="1" applyAlignment="1">
      <alignment horizontal="right"/>
    </xf>
    <xf numFmtId="166" fontId="8" fillId="0" borderId="11" xfId="1" applyNumberFormat="1" applyFont="1" applyBorder="1" applyAlignment="1">
      <alignment horizontal="right"/>
    </xf>
    <xf numFmtId="166" fontId="4" fillId="0" borderId="10" xfId="1" applyNumberFormat="1" applyFont="1" applyBorder="1" applyAlignment="1">
      <alignment horizontal="right"/>
    </xf>
    <xf numFmtId="166" fontId="7" fillId="3" borderId="6" xfId="0" applyNumberFormat="1" applyFont="1" applyFill="1" applyBorder="1"/>
    <xf numFmtId="9" fontId="7" fillId="3" borderId="0" xfId="2" applyFont="1" applyFill="1"/>
    <xf numFmtId="166" fontId="7" fillId="3" borderId="0" xfId="0" applyNumberFormat="1" applyFont="1" applyFill="1"/>
    <xf numFmtId="166" fontId="8" fillId="0" borderId="9" xfId="1" applyNumberFormat="1" applyFont="1" applyBorder="1"/>
    <xf numFmtId="166" fontId="8" fillId="0" borderId="11" xfId="1" applyNumberFormat="1" applyFont="1" applyBorder="1"/>
    <xf numFmtId="3" fontId="12" fillId="0" borderId="10" xfId="0" applyNumberFormat="1" applyFont="1" applyBorder="1"/>
    <xf numFmtId="166" fontId="4" fillId="0" borderId="10" xfId="1" applyNumberFormat="1" applyFont="1" applyBorder="1"/>
    <xf numFmtId="166" fontId="5" fillId="0" borderId="10" xfId="1" applyNumberFormat="1" applyFont="1" applyBorder="1"/>
    <xf numFmtId="166" fontId="8" fillId="0" borderId="9" xfId="1" quotePrefix="1" applyNumberFormat="1" applyFont="1" applyBorder="1"/>
    <xf numFmtId="166" fontId="8" fillId="0" borderId="10" xfId="1" quotePrefix="1" applyNumberFormat="1" applyFont="1" applyBorder="1"/>
    <xf numFmtId="166" fontId="5" fillId="0" borderId="10" xfId="1" quotePrefix="1" applyNumberFormat="1" applyFont="1" applyBorder="1"/>
    <xf numFmtId="166" fontId="8" fillId="0" borderId="11" xfId="1" quotePrefix="1" applyNumberFormat="1" applyFont="1" applyBorder="1"/>
    <xf numFmtId="0" fontId="8" fillId="0" borderId="0" xfId="0" applyFont="1"/>
    <xf numFmtId="164" fontId="5" fillId="3" borderId="10" xfId="0" applyNumberFormat="1" applyFont="1" applyFill="1" applyBorder="1"/>
    <xf numFmtId="166" fontId="5" fillId="3" borderId="10" xfId="1" quotePrefix="1" applyNumberFormat="1" applyFont="1" applyFill="1" applyBorder="1"/>
    <xf numFmtId="166" fontId="5" fillId="3" borderId="9" xfId="1" applyNumberFormat="1" applyFont="1" applyFill="1" applyBorder="1"/>
    <xf numFmtId="166" fontId="5" fillId="3" borderId="10" xfId="1" applyNumberFormat="1" applyFont="1" applyFill="1" applyBorder="1"/>
    <xf numFmtId="166" fontId="5" fillId="3" borderId="11" xfId="1" applyNumberFormat="1" applyFont="1" applyFill="1" applyBorder="1"/>
    <xf numFmtId="167" fontId="8" fillId="3" borderId="5" xfId="0" applyNumberFormat="1" applyFont="1" applyFill="1" applyBorder="1" applyAlignment="1">
      <alignment horizontal="left" wrapText="1"/>
    </xf>
    <xf numFmtId="166" fontId="8" fillId="3" borderId="8" xfId="1" quotePrefix="1" applyNumberFormat="1" applyFont="1" applyFill="1" applyBorder="1"/>
    <xf numFmtId="166" fontId="11" fillId="3" borderId="8" xfId="1" quotePrefix="1" applyNumberFormat="1" applyFont="1" applyFill="1" applyBorder="1"/>
    <xf numFmtId="166" fontId="11" fillId="3" borderId="5" xfId="1" applyNumberFormat="1" applyFont="1" applyFill="1" applyBorder="1"/>
    <xf numFmtId="166" fontId="8" fillId="3" borderId="8" xfId="1" applyNumberFormat="1" applyFont="1" applyFill="1" applyBorder="1"/>
    <xf numFmtId="166" fontId="11" fillId="3" borderId="8" xfId="1" applyNumberFormat="1" applyFont="1" applyFill="1" applyBorder="1"/>
    <xf numFmtId="166" fontId="11" fillId="3" borderId="0" xfId="1" applyNumberFormat="1" applyFont="1" applyFill="1"/>
    <xf numFmtId="166" fontId="8" fillId="0" borderId="8" xfId="1" applyNumberFormat="1" applyFont="1" applyBorder="1"/>
    <xf numFmtId="166" fontId="5" fillId="0" borderId="9" xfId="1" applyNumberFormat="1" applyFont="1" applyBorder="1"/>
    <xf numFmtId="166" fontId="9" fillId="3" borderId="2" xfId="0" applyNumberFormat="1" applyFont="1" applyFill="1" applyBorder="1"/>
    <xf numFmtId="166" fontId="8" fillId="0" borderId="26" xfId="1" applyNumberFormat="1" applyFont="1" applyBorder="1"/>
    <xf numFmtId="166" fontId="8" fillId="3" borderId="26" xfId="1" applyNumberFormat="1" applyFont="1" applyFill="1" applyBorder="1"/>
    <xf numFmtId="166" fontId="8" fillId="3" borderId="15" xfId="1" applyNumberFormat="1" applyFont="1" applyFill="1" applyBorder="1"/>
    <xf numFmtId="166" fontId="8" fillId="0" borderId="27" xfId="1" applyNumberFormat="1" applyFont="1" applyBorder="1"/>
    <xf numFmtId="166" fontId="8" fillId="0" borderId="19" xfId="1" applyNumberFormat="1" applyFont="1" applyBorder="1"/>
    <xf numFmtId="166" fontId="4" fillId="0" borderId="26" xfId="1" applyNumberFormat="1" applyFont="1" applyBorder="1"/>
    <xf numFmtId="43" fontId="5" fillId="0" borderId="5" xfId="1" applyFont="1" applyBorder="1"/>
    <xf numFmtId="166" fontId="8" fillId="0" borderId="8" xfId="1" quotePrefix="1" applyNumberFormat="1" applyFont="1" applyBorder="1"/>
    <xf numFmtId="166" fontId="8" fillId="0" borderId="0" xfId="1" applyNumberFormat="1" applyFont="1"/>
    <xf numFmtId="166" fontId="11" fillId="0" borderId="10" xfId="1" applyNumberFormat="1" applyFont="1" applyBorder="1"/>
    <xf numFmtId="166" fontId="4" fillId="5" borderId="4" xfId="1" applyNumberFormat="1" applyFont="1" applyFill="1" applyBorder="1" applyAlignment="1">
      <alignment horizontal="right"/>
    </xf>
    <xf numFmtId="166" fontId="8" fillId="3" borderId="10" xfId="1" quotePrefix="1" applyNumberFormat="1" applyFont="1" applyFill="1" applyBorder="1"/>
    <xf numFmtId="167" fontId="7" fillId="3" borderId="13" xfId="0" applyNumberFormat="1" applyFont="1" applyFill="1" applyBorder="1" applyAlignment="1">
      <alignment horizontal="left" wrapText="1"/>
    </xf>
    <xf numFmtId="166" fontId="7" fillId="3" borderId="12" xfId="1" applyNumberFormat="1" applyFont="1" applyFill="1" applyBorder="1" applyAlignment="1">
      <alignment horizontal="right"/>
    </xf>
    <xf numFmtId="166" fontId="7" fillId="3" borderId="13" xfId="1" applyNumberFormat="1" applyFont="1" applyFill="1" applyBorder="1" applyAlignment="1">
      <alignment horizontal="right"/>
    </xf>
    <xf numFmtId="166" fontId="7" fillId="3" borderId="14" xfId="1" applyNumberFormat="1" applyFont="1" applyFill="1" applyBorder="1" applyAlignment="1">
      <alignment horizontal="right"/>
    </xf>
    <xf numFmtId="166" fontId="4" fillId="3" borderId="12" xfId="1" applyNumberFormat="1" applyFont="1" applyFill="1" applyBorder="1" applyAlignment="1">
      <alignment horizontal="right"/>
    </xf>
    <xf numFmtId="166" fontId="4" fillId="3" borderId="2" xfId="1" applyNumberFormat="1" applyFont="1" applyFill="1" applyBorder="1" applyAlignment="1">
      <alignment horizontal="right"/>
    </xf>
    <xf numFmtId="167" fontId="7" fillId="3" borderId="5" xfId="0" applyNumberFormat="1" applyFont="1" applyFill="1" applyBorder="1" applyAlignment="1">
      <alignment horizontal="left" wrapText="1"/>
    </xf>
    <xf numFmtId="166" fontId="7" fillId="3" borderId="5" xfId="1" applyNumberFormat="1" applyFont="1" applyFill="1" applyBorder="1" applyAlignment="1">
      <alignment horizontal="right"/>
    </xf>
    <xf numFmtId="0" fontId="7" fillId="0" borderId="0" xfId="0" applyFont="1"/>
    <xf numFmtId="167" fontId="8" fillId="3" borderId="10" xfId="0" applyNumberFormat="1" applyFont="1" applyFill="1" applyBorder="1" applyAlignment="1">
      <alignment horizontal="left" wrapText="1"/>
    </xf>
    <xf numFmtId="166" fontId="8" fillId="0" borderId="9" xfId="0" applyNumberFormat="1" applyFont="1" applyBorder="1"/>
    <xf numFmtId="166" fontId="8" fillId="0" borderId="11" xfId="0" applyNumberFormat="1" applyFont="1" applyBorder="1"/>
    <xf numFmtId="166" fontId="4" fillId="3" borderId="9" xfId="1" applyNumberFormat="1" applyFont="1" applyFill="1" applyBorder="1" applyAlignment="1">
      <alignment horizontal="right"/>
    </xf>
    <xf numFmtId="166" fontId="4" fillId="3" borderId="10" xfId="1" applyNumberFormat="1" applyFont="1" applyFill="1" applyBorder="1" applyAlignment="1">
      <alignment horizontal="right"/>
    </xf>
    <xf numFmtId="166" fontId="4" fillId="3" borderId="11" xfId="1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horizontal="left" wrapText="1" indent="4"/>
    </xf>
    <xf numFmtId="166" fontId="8" fillId="3" borderId="28" xfId="0" applyNumberFormat="1" applyFont="1" applyFill="1" applyBorder="1"/>
    <xf numFmtId="166" fontId="7" fillId="3" borderId="8" xfId="1" applyNumberFormat="1" applyFont="1" applyFill="1" applyBorder="1" applyAlignment="1">
      <alignment horizontal="right"/>
    </xf>
    <xf numFmtId="166" fontId="7" fillId="3" borderId="0" xfId="1" applyNumberFormat="1" applyFont="1" applyFill="1" applyAlignment="1">
      <alignment horizontal="right"/>
    </xf>
    <xf numFmtId="167" fontId="7" fillId="3" borderId="9" xfId="0" applyNumberFormat="1" applyFont="1" applyFill="1" applyBorder="1" applyAlignment="1">
      <alignment horizontal="left" wrapText="1" indent="2"/>
    </xf>
    <xf numFmtId="43" fontId="7" fillId="3" borderId="10" xfId="1" applyFont="1" applyFill="1" applyBorder="1" applyAlignment="1">
      <alignment horizontal="right"/>
    </xf>
    <xf numFmtId="166" fontId="7" fillId="3" borderId="10" xfId="1" applyNumberFormat="1" applyFont="1" applyFill="1" applyBorder="1" applyAlignment="1">
      <alignment horizontal="right"/>
    </xf>
    <xf numFmtId="166" fontId="7" fillId="3" borderId="28" xfId="1" applyNumberFormat="1" applyFont="1" applyFill="1" applyBorder="1" applyAlignment="1">
      <alignment horizontal="right"/>
    </xf>
    <xf numFmtId="166" fontId="7" fillId="3" borderId="11" xfId="1" applyNumberFormat="1" applyFont="1" applyFill="1" applyBorder="1" applyAlignment="1">
      <alignment horizontal="right"/>
    </xf>
    <xf numFmtId="166" fontId="13" fillId="0" borderId="10" xfId="0" applyNumberFormat="1" applyFont="1" applyBorder="1"/>
    <xf numFmtId="166" fontId="11" fillId="0" borderId="9" xfId="0" applyNumberFormat="1" applyFont="1" applyBorder="1"/>
    <xf numFmtId="166" fontId="11" fillId="0" borderId="10" xfId="0" applyNumberFormat="1" applyFont="1" applyBorder="1"/>
    <xf numFmtId="164" fontId="8" fillId="0" borderId="11" xfId="0" applyNumberFormat="1" applyFont="1" applyBorder="1"/>
    <xf numFmtId="164" fontId="8" fillId="0" borderId="10" xfId="0" applyNumberFormat="1" applyFont="1" applyBorder="1"/>
    <xf numFmtId="166" fontId="14" fillId="0" borderId="9" xfId="0" applyNumberFormat="1" applyFont="1" applyBorder="1"/>
    <xf numFmtId="166" fontId="14" fillId="0" borderId="10" xfId="0" applyNumberFormat="1" applyFont="1" applyBorder="1"/>
    <xf numFmtId="166" fontId="7" fillId="0" borderId="11" xfId="0" applyNumberFormat="1" applyFont="1" applyBorder="1"/>
    <xf numFmtId="164" fontId="7" fillId="0" borderId="10" xfId="0" applyNumberFormat="1" applyFont="1" applyBorder="1"/>
    <xf numFmtId="166" fontId="13" fillId="0" borderId="8" xfId="0" applyNumberFormat="1" applyFont="1" applyBorder="1"/>
    <xf numFmtId="166" fontId="14" fillId="0" borderId="5" xfId="0" applyNumberFormat="1" applyFont="1" applyBorder="1"/>
    <xf numFmtId="166" fontId="14" fillId="0" borderId="8" xfId="0" applyNumberFormat="1" applyFont="1" applyBorder="1"/>
    <xf numFmtId="166" fontId="8" fillId="0" borderId="8" xfId="0" applyNumberFormat="1" applyFont="1" applyBorder="1"/>
    <xf numFmtId="166" fontId="7" fillId="0" borderId="0" xfId="0" applyNumberFormat="1" applyFont="1"/>
    <xf numFmtId="164" fontId="7" fillId="0" borderId="8" xfId="0" applyNumberFormat="1" applyFont="1" applyBorder="1"/>
    <xf numFmtId="164" fontId="8" fillId="3" borderId="10" xfId="0" applyNumberFormat="1" applyFont="1" applyFill="1" applyBorder="1"/>
    <xf numFmtId="0" fontId="8" fillId="3" borderId="5" xfId="0" applyFont="1" applyFill="1" applyBorder="1" applyAlignment="1">
      <alignment horizontal="left" wrapText="1" indent="4"/>
    </xf>
    <xf numFmtId="164" fontId="8" fillId="3" borderId="8" xfId="0" applyNumberFormat="1" applyFont="1" applyFill="1" applyBorder="1"/>
    <xf numFmtId="164" fontId="8" fillId="3" borderId="0" xfId="0" applyNumberFormat="1" applyFont="1" applyFill="1"/>
    <xf numFmtId="166" fontId="7" fillId="3" borderId="9" xfId="1" applyNumberFormat="1" applyFont="1" applyFill="1" applyBorder="1" applyAlignment="1">
      <alignment horizontal="right" wrapText="1"/>
    </xf>
    <xf numFmtId="166" fontId="7" fillId="3" borderId="10" xfId="1" applyNumberFormat="1" applyFont="1" applyFill="1" applyBorder="1" applyAlignment="1">
      <alignment horizontal="right" wrapText="1"/>
    </xf>
    <xf numFmtId="166" fontId="7" fillId="3" borderId="11" xfId="1" applyNumberFormat="1" applyFont="1" applyFill="1" applyBorder="1" applyAlignment="1">
      <alignment horizontal="right" wrapText="1"/>
    </xf>
    <xf numFmtId="0" fontId="8" fillId="3" borderId="9" xfId="0" applyFont="1" applyFill="1" applyBorder="1" applyAlignment="1">
      <alignment horizontal="left" wrapText="1" indent="2"/>
    </xf>
    <xf numFmtId="166" fontId="8" fillId="3" borderId="9" xfId="1" applyNumberFormat="1" applyFont="1" applyFill="1" applyBorder="1" applyAlignment="1">
      <alignment horizontal="right"/>
    </xf>
    <xf numFmtId="166" fontId="8" fillId="3" borderId="11" xfId="1" applyNumberFormat="1" applyFont="1" applyFill="1" applyBorder="1" applyAlignment="1">
      <alignment horizontal="right"/>
    </xf>
    <xf numFmtId="166" fontId="13" fillId="3" borderId="10" xfId="0" applyNumberFormat="1" applyFont="1" applyFill="1" applyBorder="1"/>
    <xf numFmtId="0" fontId="7" fillId="0" borderId="9" xfId="0" applyFont="1" applyBorder="1" applyAlignment="1">
      <alignment wrapText="1"/>
    </xf>
    <xf numFmtId="0" fontId="8" fillId="0" borderId="9" xfId="0" applyFont="1" applyBorder="1" applyAlignment="1">
      <alignment horizontal="left" wrapText="1" indent="2"/>
    </xf>
    <xf numFmtId="166" fontId="13" fillId="3" borderId="9" xfId="0" applyNumberFormat="1" applyFont="1" applyFill="1" applyBorder="1"/>
    <xf numFmtId="0" fontId="8" fillId="3" borderId="5" xfId="0" applyFont="1" applyFill="1" applyBorder="1" applyAlignment="1">
      <alignment horizontal="left" wrapText="1" indent="2"/>
    </xf>
    <xf numFmtId="166" fontId="13" fillId="3" borderId="8" xfId="0" applyNumberFormat="1" applyFont="1" applyFill="1" applyBorder="1"/>
    <xf numFmtId="166" fontId="13" fillId="3" borderId="5" xfId="0" applyNumberFormat="1" applyFont="1" applyFill="1" applyBorder="1"/>
    <xf numFmtId="166" fontId="8" fillId="3" borderId="8" xfId="0" applyNumberFormat="1" applyFont="1" applyFill="1" applyBorder="1"/>
    <xf numFmtId="166" fontId="8" fillId="3" borderId="0" xfId="0" applyNumberFormat="1" applyFont="1" applyFill="1"/>
    <xf numFmtId="166" fontId="6" fillId="3" borderId="8" xfId="0" applyNumberFormat="1" applyFont="1" applyFill="1" applyBorder="1"/>
    <xf numFmtId="166" fontId="8" fillId="3" borderId="28" xfId="1" applyNumberFormat="1" applyFont="1" applyFill="1" applyBorder="1" applyAlignment="1">
      <alignment horizontal="right"/>
    </xf>
    <xf numFmtId="43" fontId="5" fillId="0" borderId="8" xfId="0" applyNumberFormat="1" applyFont="1" applyBorder="1"/>
    <xf numFmtId="167" fontId="8" fillId="0" borderId="9" xfId="0" applyNumberFormat="1" applyFont="1" applyBorder="1" applyAlignment="1">
      <alignment horizontal="left" wrapText="1"/>
    </xf>
    <xf numFmtId="168" fontId="8" fillId="0" borderId="25" xfId="5" applyNumberFormat="1" applyFont="1" applyBorder="1"/>
    <xf numFmtId="166" fontId="4" fillId="3" borderId="10" xfId="0" applyNumberFormat="1" applyFont="1" applyFill="1" applyBorder="1"/>
    <xf numFmtId="166" fontId="5" fillId="3" borderId="5" xfId="0" applyNumberFormat="1" applyFont="1" applyFill="1" applyBorder="1"/>
    <xf numFmtId="166" fontId="5" fillId="3" borderId="8" xfId="0" applyNumberFormat="1" applyFont="1" applyFill="1" applyBorder="1"/>
    <xf numFmtId="166" fontId="5" fillId="3" borderId="0" xfId="0" applyNumberFormat="1" applyFont="1" applyFill="1"/>
    <xf numFmtId="167" fontId="4" fillId="6" borderId="4" xfId="0" applyNumberFormat="1" applyFont="1" applyFill="1" applyBorder="1" applyAlignment="1">
      <alignment horizontal="left" wrapText="1"/>
    </xf>
    <xf numFmtId="166" fontId="4" fillId="6" borderId="2" xfId="1" applyNumberFormat="1" applyFont="1" applyFill="1" applyBorder="1"/>
    <xf numFmtId="166" fontId="4" fillId="6" borderId="4" xfId="1" applyNumberFormat="1" applyFont="1" applyFill="1" applyBorder="1"/>
    <xf numFmtId="166" fontId="4" fillId="6" borderId="3" xfId="1" applyNumberFormat="1" applyFont="1" applyFill="1" applyBorder="1"/>
    <xf numFmtId="166" fontId="7" fillId="3" borderId="9" xfId="1" applyNumberFormat="1" applyFont="1" applyFill="1" applyBorder="1" applyAlignment="1">
      <alignment horizontal="right"/>
    </xf>
    <xf numFmtId="166" fontId="8" fillId="3" borderId="11" xfId="3" applyNumberFormat="1" applyFont="1" applyFill="1" applyBorder="1" applyAlignment="1">
      <alignment horizontal="right"/>
    </xf>
    <xf numFmtId="166" fontId="8" fillId="3" borderId="12" xfId="0" applyNumberFormat="1" applyFont="1" applyFill="1" applyBorder="1"/>
    <xf numFmtId="166" fontId="8" fillId="3" borderId="13" xfId="0" applyNumberFormat="1" applyFont="1" applyFill="1" applyBorder="1"/>
    <xf numFmtId="166" fontId="8" fillId="0" borderId="12" xfId="0" applyNumberFormat="1" applyFont="1" applyBorder="1"/>
    <xf numFmtId="166" fontId="8" fillId="3" borderId="14" xfId="0" applyNumberFormat="1" applyFont="1" applyFill="1" applyBorder="1"/>
    <xf numFmtId="164" fontId="8" fillId="3" borderId="12" xfId="0" applyNumberFormat="1" applyFont="1" applyFill="1" applyBorder="1"/>
    <xf numFmtId="166" fontId="4" fillId="3" borderId="12" xfId="0" applyNumberFormat="1" applyFont="1" applyFill="1" applyBorder="1"/>
    <xf numFmtId="168" fontId="8" fillId="7" borderId="25" xfId="0" applyNumberFormat="1" applyFont="1" applyFill="1" applyBorder="1"/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left" vertical="center" wrapText="1"/>
    </xf>
    <xf numFmtId="164" fontId="4" fillId="2" borderId="7" xfId="0" applyNumberFormat="1" applyFont="1" applyFill="1" applyBorder="1" applyAlignment="1">
      <alignment horizontal="left" vertical="center" wrapText="1"/>
    </xf>
  </cellXfs>
  <cellStyles count="8">
    <cellStyle name="Comma" xfId="1" builtinId="3"/>
    <cellStyle name="Comma 103" xfId="4" xr:uid="{DFF2D1D0-E7AF-4EBF-8418-3A7152EB0656}"/>
    <cellStyle name="Comma 131" xfId="5" xr:uid="{A1E98C88-B8FE-425B-B841-7B4B7308FB91}"/>
    <cellStyle name="Comma 133" xfId="6" xr:uid="{750CD692-01D7-4CB6-A809-1D4763D7CBEA}"/>
    <cellStyle name="Comma 134" xfId="7" xr:uid="{8FF0471F-CD70-4DD2-9FC3-8D7DC506351E}"/>
    <cellStyle name="Comma 17 2 2" xfId="3" xr:uid="{9DE8113C-C809-42C2-ABA6-0B7A9A5299F8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outturn%202021/OCTOBER%202021%20Zimra%20Classif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R/Desktop/MOFED/Old%20PC/Desktop/MOF/Government%20Accounts/December%202021%20Outturn%20final%20finalv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mra classification "/>
      <sheetName val="Balances"/>
      <sheetName val="Refunds"/>
    </sheetNames>
    <sheetDataSet>
      <sheetData sheetId="0" refreshError="1">
        <row r="8">
          <cell r="B8">
            <v>144825971.63999999</v>
          </cell>
        </row>
        <row r="9">
          <cell r="B9">
            <v>13363794.140000001</v>
          </cell>
        </row>
        <row r="10">
          <cell r="B10">
            <v>10183921.379999999</v>
          </cell>
        </row>
        <row r="11">
          <cell r="B11">
            <v>21823509.289999999</v>
          </cell>
        </row>
        <row r="12">
          <cell r="B12">
            <v>9923657.3600000013</v>
          </cell>
        </row>
        <row r="13">
          <cell r="B13">
            <v>10931646.430000002</v>
          </cell>
        </row>
        <row r="14">
          <cell r="B14">
            <v>1470827.52</v>
          </cell>
        </row>
        <row r="15">
          <cell r="B15">
            <v>8004843856.1359348</v>
          </cell>
        </row>
        <row r="16">
          <cell r="B16">
            <v>40674314.662430003</v>
          </cell>
        </row>
        <row r="17">
          <cell r="B17">
            <v>11176.126213592233</v>
          </cell>
        </row>
        <row r="18">
          <cell r="B18">
            <v>27069677.629999995</v>
          </cell>
        </row>
        <row r="45">
          <cell r="B45">
            <v>2959590686.5534</v>
          </cell>
        </row>
        <row r="46">
          <cell r="B46">
            <v>206548145.56</v>
          </cell>
        </row>
        <row r="47">
          <cell r="B47">
            <v>30697444.109999999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April_E_Sched Exp "/>
      <sheetName val="EXP OUTTURN (APR)"/>
      <sheetName val="2021_March_E_Sched Exp "/>
      <sheetName val="Chart1"/>
      <sheetName val=" EXP RECURRENT MAY 2021"/>
      <sheetName val="MAY PSIP 2021"/>
      <sheetName val="2021_June_E_Sched Exp"/>
      <sheetName val="EXP OUTTURN (JUNE)2021"/>
      <sheetName val="EXP OUTTURN (JULY)"/>
      <sheetName val="July_PSIP"/>
      <sheetName val="PSIP _ AUG 2021"/>
      <sheetName val="EXP OUTTURN (AUG) 2021"/>
      <sheetName val="PSIP _SEPT"/>
      <sheetName val="EXP OUTTURN (SEP)"/>
      <sheetName val="recurrent octber 2021"/>
      <sheetName val="PSIP oct 2021"/>
      <sheetName val="2021_Nov_E_Sched Exp "/>
      <sheetName val="EXP OUTTURN (NOV) 2021 "/>
      <sheetName val="FIXED DEPOSITS 2021"/>
      <sheetName val="Payments without Buget"/>
      <sheetName val="2021_Dec_E_Sched Exp "/>
      <sheetName val="consolidated "/>
      <sheetName val="EXP OUTTURN (MAR)"/>
      <sheetName val="budget recurrent exp jan"/>
      <sheetName val="EXP OUTTURN (FEB)"/>
      <sheetName val="PSIP Feb"/>
      <sheetName val="Sheet4"/>
      <sheetName val="PSIP Jan"/>
      <sheetName val="CURRENT TRANSFERS"/>
    </sheetNames>
    <sheetDataSet>
      <sheetData sheetId="0">
        <row r="698">
          <cell r="B698">
            <v>825605263</v>
          </cell>
          <cell r="C698">
            <v>319451944</v>
          </cell>
          <cell r="D698">
            <v>158802983</v>
          </cell>
          <cell r="H698">
            <v>2359034044</v>
          </cell>
          <cell r="I698">
            <v>482547909</v>
          </cell>
          <cell r="J698">
            <v>650350000</v>
          </cell>
        </row>
      </sheetData>
      <sheetData sheetId="1">
        <row r="253">
          <cell r="D253">
            <v>160782486</v>
          </cell>
          <cell r="E253">
            <v>3025749</v>
          </cell>
          <cell r="F253">
            <v>133793430</v>
          </cell>
          <cell r="G253">
            <v>87971870</v>
          </cell>
          <cell r="H253">
            <v>442709064</v>
          </cell>
          <cell r="I253">
            <v>52373410</v>
          </cell>
          <cell r="J253">
            <v>234065932</v>
          </cell>
          <cell r="K253">
            <v>86088115</v>
          </cell>
          <cell r="L253">
            <v>289734562</v>
          </cell>
          <cell r="M253">
            <v>672922149</v>
          </cell>
          <cell r="O253">
            <v>56882566</v>
          </cell>
          <cell r="P253">
            <v>2368674071</v>
          </cell>
          <cell r="Q253">
            <v>619700000</v>
          </cell>
        </row>
        <row r="267">
          <cell r="R267">
            <v>1015282280</v>
          </cell>
        </row>
      </sheetData>
      <sheetData sheetId="2">
        <row r="698">
          <cell r="B698">
            <v>4884622285</v>
          </cell>
          <cell r="C698">
            <v>142344150</v>
          </cell>
          <cell r="D698">
            <v>390140925</v>
          </cell>
          <cell r="E698">
            <v>1759996</v>
          </cell>
          <cell r="H698">
            <v>3940426845</v>
          </cell>
          <cell r="I698">
            <v>272898326</v>
          </cell>
          <cell r="J698">
            <v>76000000</v>
          </cell>
        </row>
      </sheetData>
      <sheetData sheetId="3"/>
      <sheetData sheetId="4">
        <row r="253">
          <cell r="D253">
            <v>336494562</v>
          </cell>
          <cell r="E253">
            <v>12529265</v>
          </cell>
          <cell r="F253">
            <v>480315130</v>
          </cell>
          <cell r="G253">
            <v>164572985</v>
          </cell>
          <cell r="H253">
            <v>874295048</v>
          </cell>
          <cell r="I253">
            <v>111405397</v>
          </cell>
          <cell r="J253">
            <v>407633946</v>
          </cell>
          <cell r="K253">
            <v>291453426</v>
          </cell>
          <cell r="L253">
            <v>568197387</v>
          </cell>
          <cell r="M253">
            <v>1235239143</v>
          </cell>
          <cell r="O253">
            <v>38376437</v>
          </cell>
          <cell r="P253">
            <v>3225144466</v>
          </cell>
          <cell r="Q253">
            <v>310000000</v>
          </cell>
          <cell r="R253">
            <v>557634665</v>
          </cell>
        </row>
      </sheetData>
      <sheetData sheetId="5">
        <row r="698">
          <cell r="H698">
            <v>7370707069</v>
          </cell>
        </row>
        <row r="702">
          <cell r="H702">
            <v>1251943264</v>
          </cell>
        </row>
        <row r="705">
          <cell r="B705">
            <v>3294914806</v>
          </cell>
          <cell r="C705">
            <v>316130888</v>
          </cell>
          <cell r="D705">
            <v>395208213</v>
          </cell>
          <cell r="E705">
            <v>5228985</v>
          </cell>
          <cell r="G705">
            <v>9900000</v>
          </cell>
          <cell r="I705">
            <v>211294081</v>
          </cell>
        </row>
      </sheetData>
      <sheetData sheetId="6">
        <row r="698">
          <cell r="B698">
            <v>4407459139</v>
          </cell>
          <cell r="C698">
            <v>498844101</v>
          </cell>
          <cell r="D698">
            <v>299441476</v>
          </cell>
          <cell r="E698">
            <v>29527805</v>
          </cell>
          <cell r="F698">
            <v>0</v>
          </cell>
          <cell r="G698">
            <v>90859500</v>
          </cell>
          <cell r="H698">
            <v>8431841032</v>
          </cell>
          <cell r="I698">
            <v>523181807</v>
          </cell>
          <cell r="J698">
            <v>6298172062.7649994</v>
          </cell>
          <cell r="K698">
            <v>0</v>
          </cell>
        </row>
      </sheetData>
      <sheetData sheetId="7">
        <row r="253">
          <cell r="D253">
            <v>613631669.38000011</v>
          </cell>
          <cell r="E253">
            <v>78179900.799999997</v>
          </cell>
          <cell r="F253">
            <v>4928606627</v>
          </cell>
          <cell r="G253">
            <v>137585582.18000001</v>
          </cell>
          <cell r="H253">
            <v>784140260.63</v>
          </cell>
          <cell r="I253">
            <v>149111551</v>
          </cell>
          <cell r="J253">
            <v>370566609.47000003</v>
          </cell>
          <cell r="K253">
            <v>160280477.53</v>
          </cell>
          <cell r="L253">
            <v>918877422.79999995</v>
          </cell>
          <cell r="M253">
            <v>1056448180.48</v>
          </cell>
          <cell r="O253">
            <v>4830330</v>
          </cell>
          <cell r="P253">
            <v>865208989</v>
          </cell>
          <cell r="Q253">
            <v>903169098</v>
          </cell>
        </row>
        <row r="261">
          <cell r="T261">
            <v>461157923</v>
          </cell>
        </row>
        <row r="267">
          <cell r="R267">
            <v>353500396.25</v>
          </cell>
        </row>
      </sheetData>
      <sheetData sheetId="8">
        <row r="261">
          <cell r="T261">
            <v>101683879</v>
          </cell>
        </row>
        <row r="267">
          <cell r="D267">
            <v>390578622</v>
          </cell>
          <cell r="E267">
            <v>7652208</v>
          </cell>
          <cell r="F267">
            <v>1014617288</v>
          </cell>
          <cell r="G267">
            <v>340275745</v>
          </cell>
          <cell r="H267">
            <v>2090895043</v>
          </cell>
          <cell r="I267">
            <v>290460593</v>
          </cell>
          <cell r="J267">
            <v>465651100</v>
          </cell>
          <cell r="K267">
            <v>84984451</v>
          </cell>
          <cell r="L267">
            <v>709608909</v>
          </cell>
          <cell r="M267">
            <v>1193440329</v>
          </cell>
          <cell r="P267">
            <v>691869696</v>
          </cell>
          <cell r="Q267">
            <v>864269000</v>
          </cell>
          <cell r="R267">
            <v>100291315</v>
          </cell>
        </row>
      </sheetData>
      <sheetData sheetId="9">
        <row r="698">
          <cell r="B698">
            <v>3831745527</v>
          </cell>
          <cell r="C698">
            <v>282146247</v>
          </cell>
          <cell r="D698">
            <v>351463490</v>
          </cell>
          <cell r="E698">
            <v>117745019</v>
          </cell>
          <cell r="G698">
            <v>450000</v>
          </cell>
          <cell r="H698">
            <v>12256532447</v>
          </cell>
          <cell r="I698">
            <v>158858300</v>
          </cell>
        </row>
      </sheetData>
      <sheetData sheetId="10">
        <row r="671">
          <cell r="B671">
            <v>2992774114</v>
          </cell>
          <cell r="C671">
            <v>999771048</v>
          </cell>
          <cell r="D671">
            <v>1304639728</v>
          </cell>
          <cell r="E671">
            <v>80108615</v>
          </cell>
          <cell r="F671">
            <v>0</v>
          </cell>
          <cell r="G671">
            <v>0</v>
          </cell>
          <cell r="H671">
            <v>15402318935</v>
          </cell>
          <cell r="I671">
            <v>81268344</v>
          </cell>
          <cell r="J671">
            <v>100000000</v>
          </cell>
          <cell r="K671">
            <v>0</v>
          </cell>
        </row>
        <row r="677">
          <cell r="H677">
            <v>1502000000</v>
          </cell>
        </row>
      </sheetData>
      <sheetData sheetId="11">
        <row r="267">
          <cell r="D267">
            <v>388221255</v>
          </cell>
          <cell r="E267">
            <v>1780772</v>
          </cell>
          <cell r="F267">
            <v>515584114</v>
          </cell>
          <cell r="G267">
            <v>114142765</v>
          </cell>
          <cell r="H267">
            <v>1765371131</v>
          </cell>
          <cell r="I267">
            <v>852351474</v>
          </cell>
          <cell r="J267">
            <v>309969059</v>
          </cell>
          <cell r="K267">
            <v>163181972</v>
          </cell>
          <cell r="L267">
            <v>451436953</v>
          </cell>
          <cell r="M267">
            <v>1008273042</v>
          </cell>
          <cell r="O267">
            <v>1173206000</v>
          </cell>
          <cell r="P267">
            <v>2263307724</v>
          </cell>
          <cell r="Q267">
            <v>509000000</v>
          </cell>
          <cell r="R267">
            <v>618963781</v>
          </cell>
        </row>
      </sheetData>
      <sheetData sheetId="12">
        <row r="673">
          <cell r="B673">
            <v>3215857662</v>
          </cell>
          <cell r="C673">
            <v>354029404</v>
          </cell>
          <cell r="D673">
            <v>601480363</v>
          </cell>
          <cell r="E673">
            <v>126224972</v>
          </cell>
          <cell r="F673">
            <v>0</v>
          </cell>
          <cell r="H673">
            <v>13961453724</v>
          </cell>
          <cell r="I673">
            <v>1421662560</v>
          </cell>
          <cell r="J673">
            <v>1030951961.5400001</v>
          </cell>
        </row>
        <row r="679">
          <cell r="H679">
            <v>2498464802</v>
          </cell>
        </row>
      </sheetData>
      <sheetData sheetId="13">
        <row r="253">
          <cell r="D253">
            <v>858636671</v>
          </cell>
          <cell r="E253">
            <v>45652120</v>
          </cell>
          <cell r="F253">
            <v>1911617479.25</v>
          </cell>
          <cell r="G253">
            <v>505577519</v>
          </cell>
          <cell r="H253">
            <v>2179559674</v>
          </cell>
          <cell r="I253">
            <v>872268114</v>
          </cell>
          <cell r="J253">
            <v>181380297</v>
          </cell>
          <cell r="K253">
            <v>248714227</v>
          </cell>
          <cell r="L253">
            <v>618862734</v>
          </cell>
          <cell r="M253">
            <v>1696675404</v>
          </cell>
          <cell r="P253">
            <v>2646890396</v>
          </cell>
          <cell r="Q253">
            <v>400000000</v>
          </cell>
          <cell r="R253">
            <v>1337395829</v>
          </cell>
        </row>
      </sheetData>
      <sheetData sheetId="14">
        <row r="271">
          <cell r="D271">
            <v>433452394.46999997</v>
          </cell>
          <cell r="E271">
            <v>16774928</v>
          </cell>
          <cell r="F271">
            <v>752049311.60000002</v>
          </cell>
          <cell r="G271">
            <v>200251783.59</v>
          </cell>
          <cell r="H271">
            <v>1450915935.49</v>
          </cell>
          <cell r="I271">
            <v>152720434</v>
          </cell>
          <cell r="J271">
            <v>603366874</v>
          </cell>
          <cell r="K271">
            <v>545554863</v>
          </cell>
          <cell r="L271">
            <v>741018983</v>
          </cell>
          <cell r="M271">
            <v>2684338249.48</v>
          </cell>
          <cell r="O271">
            <v>565434250</v>
          </cell>
          <cell r="P271">
            <v>6423587835</v>
          </cell>
          <cell r="Q271">
            <v>740000000</v>
          </cell>
          <cell r="R271">
            <v>1614989757</v>
          </cell>
        </row>
      </sheetData>
      <sheetData sheetId="15">
        <row r="698">
          <cell r="B698">
            <v>4714279185.9499998</v>
          </cell>
          <cell r="C698">
            <v>757554314</v>
          </cell>
          <cell r="D698">
            <v>729933475.91999996</v>
          </cell>
          <cell r="E698">
            <v>365900074</v>
          </cell>
          <cell r="H698">
            <v>7296031738.3000002</v>
          </cell>
        </row>
      </sheetData>
      <sheetData sheetId="16">
        <row r="698">
          <cell r="B698">
            <v>4937111869.2600002</v>
          </cell>
          <cell r="C698">
            <v>1056321686</v>
          </cell>
          <cell r="D698">
            <v>3954381873.4200001</v>
          </cell>
          <cell r="E698">
            <v>1260596650.48</v>
          </cell>
          <cell r="F698">
            <v>2173320000</v>
          </cell>
          <cell r="G698">
            <v>3350000</v>
          </cell>
          <cell r="H698">
            <v>11966137829</v>
          </cell>
          <cell r="I698">
            <v>119714984</v>
          </cell>
          <cell r="J698">
            <v>4622992500.0015383</v>
          </cell>
        </row>
      </sheetData>
      <sheetData sheetId="17">
        <row r="261">
          <cell r="T261">
            <v>68479516</v>
          </cell>
        </row>
        <row r="267">
          <cell r="D267">
            <v>747564097</v>
          </cell>
          <cell r="E267">
            <v>99277454</v>
          </cell>
          <cell r="F267">
            <v>2136767448.9300001</v>
          </cell>
          <cell r="G267">
            <v>1161683119</v>
          </cell>
          <cell r="H267">
            <v>2937194921</v>
          </cell>
          <cell r="I267">
            <v>1051330032.9100001</v>
          </cell>
          <cell r="J267">
            <v>3478722606</v>
          </cell>
          <cell r="K267">
            <v>728362593.36000001</v>
          </cell>
          <cell r="L267">
            <v>1430512644</v>
          </cell>
          <cell r="M267">
            <v>3102311632</v>
          </cell>
          <cell r="P267">
            <v>1066086408</v>
          </cell>
          <cell r="Q267">
            <v>1000000000</v>
          </cell>
          <cell r="R267">
            <v>1516221385.1500001</v>
          </cell>
        </row>
      </sheetData>
      <sheetData sheetId="18"/>
      <sheetData sheetId="19"/>
      <sheetData sheetId="20">
        <row r="698">
          <cell r="B698">
            <v>8401140300</v>
          </cell>
          <cell r="C698">
            <v>1698562153</v>
          </cell>
          <cell r="D698">
            <v>1198852927</v>
          </cell>
          <cell r="E698">
            <v>3380508634</v>
          </cell>
          <cell r="G698">
            <v>5033056</v>
          </cell>
          <cell r="H698">
            <v>7796106832</v>
          </cell>
          <cell r="I698">
            <v>182281000</v>
          </cell>
          <cell r="J698">
            <v>1283000</v>
          </cell>
        </row>
      </sheetData>
      <sheetData sheetId="21"/>
      <sheetData sheetId="22">
        <row r="267">
          <cell r="D267">
            <v>322063721.90999997</v>
          </cell>
          <cell r="E267">
            <v>43111096</v>
          </cell>
          <cell r="F267">
            <v>1134979444.4799998</v>
          </cell>
          <cell r="G267">
            <v>150715243.59</v>
          </cell>
          <cell r="H267">
            <v>521647196.63999999</v>
          </cell>
          <cell r="I267">
            <v>82759743</v>
          </cell>
          <cell r="J267">
            <v>295901306.08000004</v>
          </cell>
          <cell r="K267">
            <v>99190987.840000004</v>
          </cell>
          <cell r="L267">
            <v>592854614.66000009</v>
          </cell>
          <cell r="M267">
            <v>1106194792.1199999</v>
          </cell>
          <cell r="O267">
            <v>19379119</v>
          </cell>
          <cell r="P267">
            <v>4775667119.4300003</v>
          </cell>
          <cell r="Q267">
            <v>570000000</v>
          </cell>
          <cell r="R267">
            <v>442543194.19999999</v>
          </cell>
        </row>
      </sheetData>
      <sheetData sheetId="23">
        <row r="253">
          <cell r="R253">
            <v>9198753</v>
          </cell>
        </row>
        <row r="267">
          <cell r="D267">
            <v>15977534</v>
          </cell>
          <cell r="E267">
            <v>0</v>
          </cell>
          <cell r="F267">
            <v>7088382</v>
          </cell>
          <cell r="G267">
            <v>3601627</v>
          </cell>
          <cell r="H267">
            <v>61300870</v>
          </cell>
          <cell r="I267">
            <v>3525685</v>
          </cell>
          <cell r="J267">
            <v>46006680</v>
          </cell>
          <cell r="K267">
            <v>3429545</v>
          </cell>
          <cell r="L267">
            <v>57444398</v>
          </cell>
          <cell r="M267">
            <v>62124279</v>
          </cell>
          <cell r="P267">
            <v>3196556628.75</v>
          </cell>
          <cell r="Q267">
            <v>500000000</v>
          </cell>
        </row>
      </sheetData>
      <sheetData sheetId="24">
        <row r="253">
          <cell r="R253">
            <v>54403430</v>
          </cell>
        </row>
        <row r="261">
          <cell r="T261">
            <v>495505963</v>
          </cell>
        </row>
        <row r="267">
          <cell r="D267">
            <v>110391989</v>
          </cell>
          <cell r="E267">
            <v>1390646</v>
          </cell>
          <cell r="F267">
            <v>144042954</v>
          </cell>
          <cell r="G267">
            <v>35711538</v>
          </cell>
          <cell r="H267">
            <v>185451589</v>
          </cell>
          <cell r="I267">
            <v>55181714.310000002</v>
          </cell>
          <cell r="J267">
            <v>97273487</v>
          </cell>
          <cell r="K267">
            <v>48572687.480000004</v>
          </cell>
          <cell r="L267">
            <v>254189531</v>
          </cell>
          <cell r="M267">
            <v>400505117</v>
          </cell>
          <cell r="O267">
            <v>763288452</v>
          </cell>
          <cell r="P267">
            <v>102683440</v>
          </cell>
          <cell r="Q267">
            <v>0</v>
          </cell>
        </row>
      </sheetData>
      <sheetData sheetId="25">
        <row r="698">
          <cell r="B698">
            <v>1068886279</v>
          </cell>
          <cell r="C698">
            <v>168887011</v>
          </cell>
          <cell r="D698">
            <v>270622325</v>
          </cell>
          <cell r="E698">
            <v>1573755</v>
          </cell>
          <cell r="H698">
            <v>3318588621</v>
          </cell>
          <cell r="I698">
            <v>24600000</v>
          </cell>
          <cell r="J698">
            <v>3450882000.1999998</v>
          </cell>
        </row>
      </sheetData>
      <sheetData sheetId="26"/>
      <sheetData sheetId="27">
        <row r="670">
          <cell r="B670">
            <v>73627869</v>
          </cell>
          <cell r="C670">
            <v>210199139</v>
          </cell>
          <cell r="D670">
            <v>2531183</v>
          </cell>
          <cell r="E670">
            <v>122709947.45</v>
          </cell>
          <cell r="H670">
            <v>817710524</v>
          </cell>
          <cell r="I670">
            <v>161607293</v>
          </cell>
          <cell r="J670">
            <v>4104165000</v>
          </cell>
        </row>
      </sheetData>
      <sheetData sheetId="28">
        <row r="306">
          <cell r="N306">
            <v>1514945956</v>
          </cell>
          <cell r="O306">
            <v>205000000</v>
          </cell>
          <cell r="Q306">
            <v>1812212684</v>
          </cell>
          <cell r="R306">
            <v>578924031</v>
          </cell>
          <cell r="T306">
            <v>1775384361.4300001</v>
          </cell>
          <cell r="U306">
            <v>1605118443</v>
          </cell>
          <cell r="W306">
            <v>2011539036</v>
          </cell>
          <cell r="X306">
            <v>633073906</v>
          </cell>
          <cell r="Z306">
            <v>2067798812</v>
          </cell>
          <cell r="AA306">
            <v>978838635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809F-2B09-41ED-B8F0-AF4920FB8985}">
  <dimension ref="A1:CF177"/>
  <sheetViews>
    <sheetView tabSelected="1" workbookViewId="0">
      <pane xSplit="1" ySplit="6" topLeftCell="B99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defaultColWidth="9" defaultRowHeight="10.5" x14ac:dyDescent="0.25"/>
  <cols>
    <col min="1" max="1" width="32" style="109" bestFit="1" customWidth="1"/>
    <col min="2" max="3" width="9.453125" style="4" bestFit="1" customWidth="1"/>
    <col min="4" max="4" width="9.81640625" style="4" bestFit="1" customWidth="1"/>
    <col min="5" max="6" width="9.453125" style="4" bestFit="1" customWidth="1"/>
    <col min="7" max="9" width="9.81640625" style="4" bestFit="1" customWidth="1"/>
    <col min="10" max="10" width="9.453125" style="4" bestFit="1" customWidth="1"/>
    <col min="11" max="11" width="9.81640625" style="110" bestFit="1" customWidth="1"/>
    <col min="12" max="12" width="9.81640625" style="4" bestFit="1" customWidth="1"/>
    <col min="13" max="13" width="10.453125" style="4" bestFit="1" customWidth="1"/>
    <col min="14" max="14" width="11.26953125" style="111" bestFit="1" customWidth="1"/>
    <col min="15" max="15" width="16" style="4" bestFit="1" customWidth="1"/>
    <col min="16" max="16" width="15.54296875" style="4" bestFit="1" customWidth="1"/>
    <col min="17" max="16384" width="9" style="4"/>
  </cols>
  <sheetData>
    <row r="1" spans="1:15" ht="25.5" customHeight="1" thickBot="1" x14ac:dyDescent="0.3">
      <c r="A1" s="242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2" t="s">
        <v>1</v>
      </c>
      <c r="L1" s="2" t="s">
        <v>1</v>
      </c>
      <c r="M1" s="1" t="s">
        <v>1</v>
      </c>
      <c r="N1" s="3" t="s">
        <v>1</v>
      </c>
    </row>
    <row r="2" spans="1:15" ht="28.5" customHeight="1" thickBot="1" x14ac:dyDescent="0.3">
      <c r="A2" s="243"/>
      <c r="B2" s="5">
        <v>44227</v>
      </c>
      <c r="C2" s="6">
        <v>44255</v>
      </c>
      <c r="D2" s="7">
        <v>44286</v>
      </c>
      <c r="E2" s="8">
        <v>44316</v>
      </c>
      <c r="F2" s="8">
        <v>44347</v>
      </c>
      <c r="G2" s="8">
        <v>44377</v>
      </c>
      <c r="H2" s="8">
        <v>44408</v>
      </c>
      <c r="I2" s="8">
        <v>44439</v>
      </c>
      <c r="J2" s="8">
        <v>44469</v>
      </c>
      <c r="K2" s="9">
        <v>44500</v>
      </c>
      <c r="L2" s="9">
        <v>44530</v>
      </c>
      <c r="M2" s="8">
        <v>44561</v>
      </c>
      <c r="N2" s="10" t="s">
        <v>135</v>
      </c>
    </row>
    <row r="3" spans="1:15" ht="21.75" customHeight="1" thickBot="1" x14ac:dyDescent="0.3">
      <c r="A3" s="244"/>
      <c r="B3" s="8" t="s">
        <v>2</v>
      </c>
      <c r="C3" s="8" t="s">
        <v>2</v>
      </c>
      <c r="D3" s="8" t="s">
        <v>2</v>
      </c>
      <c r="E3" s="8" t="s">
        <v>2</v>
      </c>
      <c r="F3" s="8" t="s">
        <v>2</v>
      </c>
      <c r="G3" s="8" t="s">
        <v>2</v>
      </c>
      <c r="H3" s="8" t="s">
        <v>2</v>
      </c>
      <c r="I3" s="8" t="s">
        <v>2</v>
      </c>
      <c r="J3" s="8" t="s">
        <v>2</v>
      </c>
      <c r="K3" s="8" t="s">
        <v>2</v>
      </c>
      <c r="L3" s="8" t="s">
        <v>2</v>
      </c>
      <c r="M3" s="8" t="s">
        <v>2</v>
      </c>
      <c r="N3" s="8" t="s">
        <v>2</v>
      </c>
    </row>
    <row r="4" spans="1:15" ht="21.75" hidden="1" customHeight="1" x14ac:dyDescent="0.25">
      <c r="A4" s="11" t="s">
        <v>3</v>
      </c>
      <c r="B4" s="12">
        <f t="shared" ref="B4:N4" si="0">B10+B57-B6</f>
        <v>23566909682.579998</v>
      </c>
      <c r="C4" s="12">
        <f t="shared" si="0"/>
        <v>23782145520.800003</v>
      </c>
      <c r="D4" s="13">
        <f t="shared" si="0"/>
        <v>42080228475.176353</v>
      </c>
      <c r="E4" s="12">
        <f t="shared" si="0"/>
        <v>26433565245.726963</v>
      </c>
      <c r="F4" s="12">
        <f t="shared" si="0"/>
        <v>32048189338.903309</v>
      </c>
      <c r="G4" s="12">
        <f t="shared" si="0"/>
        <v>50910211771.498055</v>
      </c>
      <c r="H4" s="12">
        <f t="shared" si="0"/>
        <v>32602809922.579594</v>
      </c>
      <c r="I4" s="12">
        <f t="shared" si="0"/>
        <v>35635549141.940605</v>
      </c>
      <c r="J4" s="12">
        <f t="shared" si="0"/>
        <v>54412004139.180298</v>
      </c>
      <c r="K4" s="14">
        <f t="shared" si="0"/>
        <v>42075053942.537651</v>
      </c>
      <c r="L4" s="14">
        <f t="shared" si="0"/>
        <v>46223346510.83918</v>
      </c>
      <c r="M4" s="12">
        <f t="shared" si="0"/>
        <v>79785835595.444763</v>
      </c>
      <c r="N4" s="12">
        <f t="shared" si="0"/>
        <v>489555849287.20673</v>
      </c>
    </row>
    <row r="5" spans="1:15" s="21" customFormat="1" ht="21.75" hidden="1" customHeight="1" x14ac:dyDescent="0.25">
      <c r="A5" s="15"/>
      <c r="B5" s="16"/>
      <c r="C5" s="16"/>
      <c r="D5" s="17"/>
      <c r="E5" s="16"/>
      <c r="F5" s="16"/>
      <c r="G5" s="18"/>
      <c r="H5" s="16"/>
      <c r="I5" s="16"/>
      <c r="J5" s="16"/>
      <c r="K5" s="17"/>
      <c r="L5" s="19"/>
      <c r="M5" s="20"/>
      <c r="N5" s="16"/>
    </row>
    <row r="6" spans="1:15" ht="21.75" hidden="1" customHeight="1" x14ac:dyDescent="0.25">
      <c r="A6" s="22" t="s">
        <v>4</v>
      </c>
      <c r="B6" s="23">
        <v>11178000</v>
      </c>
      <c r="C6" s="23">
        <v>13096000</v>
      </c>
      <c r="D6" s="24">
        <v>12075000</v>
      </c>
      <c r="E6" s="23"/>
      <c r="F6" s="23"/>
      <c r="G6" s="23"/>
      <c r="H6" s="23"/>
      <c r="I6" s="23"/>
      <c r="J6" s="25"/>
      <c r="K6" s="26"/>
      <c r="L6" s="27"/>
      <c r="M6" s="28"/>
      <c r="N6" s="29">
        <f>B6+C6+D6+E6+F6+G6+H6+I6+J6+K6+L6+M6</f>
        <v>36349000</v>
      </c>
    </row>
    <row r="7" spans="1:15" s="21" customFormat="1" ht="21.75" customHeight="1" thickBot="1" x14ac:dyDescent="0.3">
      <c r="A7" s="30"/>
      <c r="B7" s="16"/>
      <c r="C7" s="16"/>
      <c r="D7" s="17"/>
      <c r="E7" s="16"/>
      <c r="F7" s="16"/>
      <c r="G7" s="18"/>
      <c r="H7" s="16"/>
      <c r="I7" s="16"/>
      <c r="J7" s="16"/>
      <c r="K7" s="17"/>
      <c r="L7" s="19"/>
      <c r="M7" s="20"/>
      <c r="N7" s="16"/>
    </row>
    <row r="8" spans="1:15" s="21" customFormat="1" ht="21.75" customHeight="1" thickBot="1" x14ac:dyDescent="0.3">
      <c r="A8" s="31" t="s">
        <v>5</v>
      </c>
      <c r="B8" s="32">
        <f t="shared" ref="B8:G8" si="1">B10+B57</f>
        <v>23578087682.579998</v>
      </c>
      <c r="C8" s="32">
        <f t="shared" si="1"/>
        <v>23795241520.800003</v>
      </c>
      <c r="D8" s="32">
        <f t="shared" si="1"/>
        <v>42092303475.176353</v>
      </c>
      <c r="E8" s="32">
        <f t="shared" si="1"/>
        <v>26433565245.726963</v>
      </c>
      <c r="F8" s="32">
        <f t="shared" si="1"/>
        <v>32048189338.903309</v>
      </c>
      <c r="G8" s="32">
        <f t="shared" si="1"/>
        <v>50910211771.498055</v>
      </c>
      <c r="H8" s="32">
        <f>H10+H57+H55</f>
        <v>32602809922.579594</v>
      </c>
      <c r="I8" s="32">
        <f>I10+I57+I55</f>
        <v>35635549141.940605</v>
      </c>
      <c r="J8" s="32">
        <f t="shared" ref="J8:N8" si="2">J10+J57</f>
        <v>54412004139.180298</v>
      </c>
      <c r="K8" s="32">
        <f t="shared" si="2"/>
        <v>42075053942.537651</v>
      </c>
      <c r="L8" s="32">
        <f t="shared" si="2"/>
        <v>46223346510.83918</v>
      </c>
      <c r="M8" s="32">
        <f t="shared" si="2"/>
        <v>79785835595.444763</v>
      </c>
      <c r="N8" s="32">
        <f t="shared" si="2"/>
        <v>489592198287.20673</v>
      </c>
      <c r="O8" s="33"/>
    </row>
    <row r="9" spans="1:15" ht="21.75" customHeight="1" thickBot="1" x14ac:dyDescent="0.3">
      <c r="A9" s="34"/>
      <c r="B9" s="35"/>
      <c r="C9" s="35"/>
      <c r="D9" s="36"/>
      <c r="E9" s="37"/>
      <c r="F9" s="37"/>
      <c r="G9" s="35"/>
      <c r="H9" s="35"/>
      <c r="I9" s="35"/>
      <c r="J9" s="38"/>
      <c r="K9" s="39"/>
      <c r="L9" s="39"/>
      <c r="M9" s="40"/>
      <c r="N9" s="41"/>
    </row>
    <row r="10" spans="1:15" ht="21.75" customHeight="1" thickBot="1" x14ac:dyDescent="0.3">
      <c r="A10" s="11" t="s">
        <v>6</v>
      </c>
      <c r="B10" s="12">
        <f t="shared" ref="B10:N10" si="3">+B12+B19+B24+B31+B35+B41+B47+B51</f>
        <v>22676980020.719997</v>
      </c>
      <c r="C10" s="12">
        <f t="shared" si="3"/>
        <v>23297698208.900002</v>
      </c>
      <c r="D10" s="12">
        <f t="shared" si="3"/>
        <v>40478396077.756355</v>
      </c>
      <c r="E10" s="12">
        <f t="shared" si="3"/>
        <v>25583821498.15781</v>
      </c>
      <c r="F10" s="12">
        <f t="shared" si="3"/>
        <v>29486198142.593307</v>
      </c>
      <c r="G10" s="12">
        <f t="shared" si="3"/>
        <v>48452555682.073944</v>
      </c>
      <c r="H10" s="12">
        <f t="shared" si="3"/>
        <v>30390472487.448654</v>
      </c>
      <c r="I10" s="12">
        <f t="shared" si="3"/>
        <v>33032115189.243221</v>
      </c>
      <c r="J10" s="12">
        <f t="shared" si="3"/>
        <v>47231355095.953125</v>
      </c>
      <c r="K10" s="12">
        <f t="shared" si="3"/>
        <v>39280549832.810295</v>
      </c>
      <c r="L10" s="12">
        <f t="shared" si="3"/>
        <v>40804329898.187469</v>
      </c>
      <c r="M10" s="12">
        <f t="shared" si="3"/>
        <v>74612463274.639496</v>
      </c>
      <c r="N10" s="12">
        <f t="shared" si="3"/>
        <v>455326935408.48364</v>
      </c>
    </row>
    <row r="11" spans="1:15" ht="21.75" customHeight="1" thickBot="1" x14ac:dyDescent="0.3">
      <c r="A11" s="42"/>
      <c r="B11" s="35"/>
      <c r="C11" s="35"/>
      <c r="D11" s="36"/>
      <c r="E11" s="37"/>
      <c r="F11" s="37"/>
      <c r="G11" s="35"/>
      <c r="H11" s="35"/>
      <c r="I11" s="35"/>
      <c r="J11" s="38"/>
      <c r="K11" s="39"/>
      <c r="L11" s="39"/>
      <c r="M11" s="40"/>
      <c r="N11" s="41"/>
    </row>
    <row r="12" spans="1:15" ht="21.75" customHeight="1" thickBot="1" x14ac:dyDescent="0.3">
      <c r="A12" s="22" t="s">
        <v>7</v>
      </c>
      <c r="B12" s="23">
        <f>SUM(B13:B17)</f>
        <v>7506280736.1700001</v>
      </c>
      <c r="C12" s="23">
        <f t="shared" ref="C12:M12" si="4">SUM(C13:C17)</f>
        <v>6167324416.96</v>
      </c>
      <c r="D12" s="23">
        <f t="shared" si="4"/>
        <v>21072221826.47718</v>
      </c>
      <c r="E12" s="23">
        <f t="shared" si="4"/>
        <v>7822533383.4386196</v>
      </c>
      <c r="F12" s="23">
        <f t="shared" si="4"/>
        <v>7989016619.4503889</v>
      </c>
      <c r="G12" s="23">
        <f t="shared" si="4"/>
        <v>25775256598.135864</v>
      </c>
      <c r="H12" s="23">
        <f t="shared" si="4"/>
        <v>7894950611.972187</v>
      </c>
      <c r="I12" s="23">
        <f>SUM(I13:I17)</f>
        <v>10384684403.200001</v>
      </c>
      <c r="J12" s="23">
        <f>SUM(J13:J17)</f>
        <v>22017629478.467365</v>
      </c>
      <c r="K12" s="23">
        <f t="shared" si="4"/>
        <v>11481958628.537981</v>
      </c>
      <c r="L12" s="23">
        <f t="shared" si="4"/>
        <v>12139867421.205437</v>
      </c>
      <c r="M12" s="23">
        <f t="shared" si="4"/>
        <v>41679371439.430824</v>
      </c>
      <c r="N12" s="23">
        <f>SUM(N13:N17)</f>
        <v>181931095563.44583</v>
      </c>
    </row>
    <row r="13" spans="1:15" ht="21.75" customHeight="1" thickBot="1" x14ac:dyDescent="0.3">
      <c r="A13" s="43" t="s">
        <v>8</v>
      </c>
      <c r="B13" s="44">
        <v>5397010883.71</v>
      </c>
      <c r="C13" s="44">
        <v>4194332379.77</v>
      </c>
      <c r="D13" s="45">
        <v>6172690161.7780552</v>
      </c>
      <c r="E13" s="44">
        <v>5510766426.486021</v>
      </c>
      <c r="F13" s="44">
        <v>5213827659.6194162</v>
      </c>
      <c r="G13" s="44">
        <v>6837709197.2536974</v>
      </c>
      <c r="H13" s="44">
        <v>5949980787.0200977</v>
      </c>
      <c r="I13" s="46">
        <v>6071394495.0299997</v>
      </c>
      <c r="J13" s="47">
        <v>7304951945.9120293</v>
      </c>
      <c r="K13" s="48">
        <f>'[1]zimra classification '!$B$8+'[1]zimra classification '!$B$9+'[1]zimra classification '!$B$10+'[1]zimra classification '!$B$11+'[1]zimra classification '!$B$14+'[1]zimra classification '!$B$15+'[1]zimra classification '!$B$17+'[1]zimra classification '!$B$18</f>
        <v>8223592733.8621492</v>
      </c>
      <c r="L13" s="48">
        <v>8631044589.0036888</v>
      </c>
      <c r="M13" s="49">
        <f>11555993596.2616+1069526002.23</f>
        <v>12625519598.4916</v>
      </c>
      <c r="N13" s="29">
        <f>B13+C13+D13+E13+F13+G13+H13+I13+J13+K13+L13+M13</f>
        <v>82132820857.936768</v>
      </c>
    </row>
    <row r="14" spans="1:15" ht="21.75" customHeight="1" thickBot="1" x14ac:dyDescent="0.3">
      <c r="A14" s="43" t="s">
        <v>9</v>
      </c>
      <c r="B14" s="44">
        <v>1769765883.8399999</v>
      </c>
      <c r="C14" s="44">
        <v>1718722782.73</v>
      </c>
      <c r="D14" s="45">
        <v>14336294576.609125</v>
      </c>
      <c r="E14" s="44">
        <v>1983705791.9902911</v>
      </c>
      <c r="F14" s="44">
        <v>2389280856.300972</v>
      </c>
      <c r="G14" s="44">
        <v>18385265663.689323</v>
      </c>
      <c r="H14" s="44">
        <v>1409336206.6990299</v>
      </c>
      <c r="I14" s="50">
        <v>3877245558.1700001</v>
      </c>
      <c r="J14" s="47">
        <v>13935607759.175337</v>
      </c>
      <c r="K14" s="48">
        <f>'[1]zimra classification '!$B$45</f>
        <v>2959590686.5534</v>
      </c>
      <c r="L14" s="48">
        <v>3165350717.9417477</v>
      </c>
      <c r="M14" s="49">
        <f>25760642596.2072+287347601.52</f>
        <v>26047990197.7272</v>
      </c>
      <c r="N14" s="29">
        <f>B14+C14+D14+E14+F14+G14+H14+I14+J14+K14+L14+M14</f>
        <v>91978156681.426422</v>
      </c>
    </row>
    <row r="15" spans="1:15" ht="21.75" customHeight="1" thickBot="1" x14ac:dyDescent="0.3">
      <c r="A15" s="43" t="s">
        <v>10</v>
      </c>
      <c r="B15" s="44">
        <f>5736514852.33-B16-B17-B13</f>
        <v>183522584.73999977</v>
      </c>
      <c r="C15" s="44">
        <f>4448601634.23-C17-C16-C13</f>
        <v>115466837.57999945</v>
      </c>
      <c r="D15" s="45">
        <v>388808537.65999997</v>
      </c>
      <c r="E15" s="44">
        <v>162081726.71000001</v>
      </c>
      <c r="F15" s="44">
        <v>206676794.51000002</v>
      </c>
      <c r="G15" s="44">
        <v>305547365.7299999</v>
      </c>
      <c r="H15" s="44">
        <v>318582131.13999999</v>
      </c>
      <c r="I15" s="50">
        <v>264853797.5</v>
      </c>
      <c r="J15" s="47">
        <v>565459798.13999999</v>
      </c>
      <c r="K15" s="48">
        <f>'[1]zimra classification '!$B$12+'[1]zimra classification '!$B$13</f>
        <v>20855303.790000003</v>
      </c>
      <c r="L15" s="48">
        <v>59143617.579999998</v>
      </c>
      <c r="M15" s="44">
        <f>177450667.57+2491017850.18</f>
        <v>2668468517.75</v>
      </c>
      <c r="N15" s="29">
        <f>B15+C15+D15+E15+F15+G15+H15+I15+J15+K15+L15+M15</f>
        <v>5259467012.829999</v>
      </c>
    </row>
    <row r="16" spans="1:15" ht="21.75" customHeight="1" thickBot="1" x14ac:dyDescent="0.3">
      <c r="A16" s="43" t="s">
        <v>11</v>
      </c>
      <c r="B16" s="44">
        <v>118841908.20999999</v>
      </c>
      <c r="C16" s="44">
        <v>75247957.599999994</v>
      </c>
      <c r="D16" s="45">
        <v>143628123.70000002</v>
      </c>
      <c r="E16" s="44">
        <v>146400651.05000001</v>
      </c>
      <c r="F16" s="44">
        <v>107074960.77000001</v>
      </c>
      <c r="G16" s="44">
        <v>188247697.35999995</v>
      </c>
      <c r="H16" s="44">
        <v>170492934.54000002</v>
      </c>
      <c r="I16" s="50">
        <v>141358669.06999999</v>
      </c>
      <c r="J16" s="47">
        <v>176443654.20000002</v>
      </c>
      <c r="K16" s="48">
        <f>'[1]zimra classification '!$B$46+'[1]zimra classification '!$B$47</f>
        <v>237245589.67000002</v>
      </c>
      <c r="L16" s="48">
        <v>240447764.85999998</v>
      </c>
      <c r="M16" s="44">
        <f>113103823.42+182113972.13</f>
        <v>295217795.55000001</v>
      </c>
      <c r="N16" s="29">
        <f>B16+C16+D16+E16+F16+G16+H16+I16+J16+K16+L16+M16</f>
        <v>2040647706.5799999</v>
      </c>
    </row>
    <row r="17" spans="1:14" ht="21.75" customHeight="1" thickBot="1" x14ac:dyDescent="0.3">
      <c r="A17" s="43" t="s">
        <v>12</v>
      </c>
      <c r="B17" s="44">
        <v>37139475.670000002</v>
      </c>
      <c r="C17" s="44">
        <v>63554459.280000001</v>
      </c>
      <c r="D17" s="45">
        <v>30800426.729999997</v>
      </c>
      <c r="E17" s="44">
        <v>19578787.202307001</v>
      </c>
      <c r="F17" s="44">
        <v>72156348.25</v>
      </c>
      <c r="G17" s="44">
        <v>58486674.102843992</v>
      </c>
      <c r="H17" s="44">
        <v>46558552.573059537</v>
      </c>
      <c r="I17" s="50">
        <v>29831883.43</v>
      </c>
      <c r="J17" s="47">
        <v>35166321.039999999</v>
      </c>
      <c r="K17" s="48">
        <f>'[1]zimra classification '!$B$16</f>
        <v>40674314.662430003</v>
      </c>
      <c r="L17" s="48">
        <v>43880731.820000008</v>
      </c>
      <c r="M17" s="44">
        <f>40831028.112028+1344301.8</f>
        <v>42175329.912028</v>
      </c>
      <c r="N17" s="29">
        <f>B17+C17+D17+E17+F17+G17+H17+I17+J17+K17+L17+M17</f>
        <v>520003304.67266858</v>
      </c>
    </row>
    <row r="18" spans="1:14" ht="21.75" customHeight="1" thickBot="1" x14ac:dyDescent="0.3">
      <c r="A18" s="43"/>
      <c r="B18" s="44"/>
      <c r="C18" s="44"/>
      <c r="D18" s="45"/>
      <c r="E18" s="44"/>
      <c r="F18" s="44"/>
      <c r="G18" s="44"/>
      <c r="H18" s="44"/>
      <c r="I18" s="44"/>
      <c r="J18" s="47"/>
      <c r="K18" s="48"/>
      <c r="L18" s="51"/>
      <c r="M18" s="44"/>
      <c r="N18" s="29"/>
    </row>
    <row r="19" spans="1:14" ht="21.75" customHeight="1" thickBot="1" x14ac:dyDescent="0.3">
      <c r="A19" s="22" t="s">
        <v>13</v>
      </c>
      <c r="B19" s="23">
        <f>SUM(B20:B22)</f>
        <v>1935876970.22</v>
      </c>
      <c r="C19" s="23">
        <f t="shared" ref="C19:N19" si="5">SUM(C20:C22)</f>
        <v>2282848216.2800002</v>
      </c>
      <c r="D19" s="23">
        <f t="shared" si="5"/>
        <v>2408714717.9593444</v>
      </c>
      <c r="E19" s="23">
        <f>SUM(E20:E22)</f>
        <v>2052259865.4835391</v>
      </c>
      <c r="F19" s="23">
        <f>SUM(F20:F22)</f>
        <v>2303511300.5559497</v>
      </c>
      <c r="G19" s="23">
        <f t="shared" si="5"/>
        <v>2402552842.0027308</v>
      </c>
      <c r="H19" s="23">
        <f>SUM(H20:H22)</f>
        <v>2262293538.6594057</v>
      </c>
      <c r="I19" s="23">
        <f>SUM(I20:I22)</f>
        <v>2269610270.9400897</v>
      </c>
      <c r="J19" s="23">
        <f>SUM(J20:J22)</f>
        <v>2520983646.7295074</v>
      </c>
      <c r="K19" s="23">
        <f>SUM(K20:K22)</f>
        <v>2833064181.4042172</v>
      </c>
      <c r="L19" s="23">
        <f t="shared" si="5"/>
        <v>2860840515.8996296</v>
      </c>
      <c r="M19" s="23">
        <f t="shared" si="5"/>
        <v>3032074308.2714863</v>
      </c>
      <c r="N19" s="23">
        <f t="shared" si="5"/>
        <v>29164630374.405903</v>
      </c>
    </row>
    <row r="20" spans="1:14" ht="21.75" customHeight="1" thickBot="1" x14ac:dyDescent="0.3">
      <c r="A20" s="52" t="s">
        <v>14</v>
      </c>
      <c r="B20" s="53"/>
      <c r="C20" s="54"/>
      <c r="D20" s="55"/>
      <c r="E20" s="56"/>
      <c r="F20" s="56"/>
      <c r="G20" s="57"/>
      <c r="H20" s="44"/>
      <c r="I20" s="57"/>
      <c r="J20" s="58"/>
      <c r="K20" s="59"/>
      <c r="L20" s="59"/>
      <c r="M20" s="60"/>
      <c r="N20" s="29">
        <f>B20+C20+D20+E20+F20+G20+H20+I20+J20+K20+L20+M20</f>
        <v>0</v>
      </c>
    </row>
    <row r="21" spans="1:14" ht="21.75" customHeight="1" thickBot="1" x14ac:dyDescent="0.3">
      <c r="A21" s="61" t="s">
        <v>15</v>
      </c>
      <c r="B21" s="54">
        <v>1937289684.1700001</v>
      </c>
      <c r="C21" s="54">
        <v>2285829983.4400001</v>
      </c>
      <c r="D21" s="55">
        <v>2424828792.0700002</v>
      </c>
      <c r="E21" s="44">
        <v>2053914532.798131</v>
      </c>
      <c r="F21" s="44">
        <v>2308696634.1459498</v>
      </c>
      <c r="G21" s="44">
        <v>2416521960.385869</v>
      </c>
      <c r="H21" s="44">
        <v>2263786824.6594057</v>
      </c>
      <c r="I21" s="50">
        <v>2291296817.4899998</v>
      </c>
      <c r="J21" s="47">
        <v>2533332433.6014357</v>
      </c>
      <c r="K21" s="48">
        <v>2840389329.5655217</v>
      </c>
      <c r="L21" s="48">
        <v>2875896841.0194798</v>
      </c>
      <c r="M21" s="44">
        <f>3407721738.54927-369321043.02</f>
        <v>3038400695.5292702</v>
      </c>
      <c r="N21" s="29">
        <f>B21+C21+D21+E21+F21+G21+H21+I21+J21+K21+L21+M21</f>
        <v>29270184528.875065</v>
      </c>
    </row>
    <row r="22" spans="1:14" ht="21.75" customHeight="1" thickBot="1" x14ac:dyDescent="0.3">
      <c r="A22" s="43" t="s">
        <v>16</v>
      </c>
      <c r="B22" s="54">
        <v>-1412713.95</v>
      </c>
      <c r="C22" s="54">
        <v>-2981767.16</v>
      </c>
      <c r="D22" s="55">
        <v>-16114074.110656001</v>
      </c>
      <c r="E22" s="44">
        <v>-1654667.3145920001</v>
      </c>
      <c r="F22" s="44">
        <v>-5185333.59</v>
      </c>
      <c r="G22" s="44">
        <v>-13969118.383137999</v>
      </c>
      <c r="H22" s="44">
        <v>-1493286</v>
      </c>
      <c r="I22" s="44">
        <v>-21686546.549910001</v>
      </c>
      <c r="J22" s="47">
        <v>-12348786.871928001</v>
      </c>
      <c r="K22" s="48">
        <v>-7325148.1613044702</v>
      </c>
      <c r="L22" s="48">
        <v>-15056325.11985</v>
      </c>
      <c r="M22" s="44">
        <v>-6326387.2577839997</v>
      </c>
      <c r="N22" s="29">
        <f>B22+C22+D22+E22+F22+G22+H22+I22+J22+K22+L22+M22</f>
        <v>-105554154.46916246</v>
      </c>
    </row>
    <row r="23" spans="1:14" ht="21.75" customHeight="1" thickBot="1" x14ac:dyDescent="0.3">
      <c r="A23" s="43"/>
      <c r="B23" s="54"/>
      <c r="C23" s="54"/>
      <c r="D23" s="55"/>
      <c r="E23" s="44"/>
      <c r="F23" s="44"/>
      <c r="G23" s="44"/>
      <c r="H23" s="44"/>
      <c r="I23" s="44"/>
      <c r="J23" s="47"/>
      <c r="K23" s="48"/>
      <c r="L23" s="51"/>
      <c r="M23" s="44"/>
      <c r="N23" s="29"/>
    </row>
    <row r="24" spans="1:14" ht="21.75" customHeight="1" thickBot="1" x14ac:dyDescent="0.3">
      <c r="A24" s="22" t="s">
        <v>17</v>
      </c>
      <c r="B24" s="23">
        <f>SUM(B25:B30)</f>
        <v>2773875887.8499999</v>
      </c>
      <c r="C24" s="23">
        <f t="shared" ref="C24:N24" si="6">SUM(C25:C30)</f>
        <v>2782609973.4400001</v>
      </c>
      <c r="D24" s="23">
        <f t="shared" si="6"/>
        <v>3739760977.8500009</v>
      </c>
      <c r="E24" s="23">
        <f t="shared" si="6"/>
        <v>3136273361.0019588</v>
      </c>
      <c r="F24" s="23">
        <f t="shared" si="6"/>
        <v>4106358106.5</v>
      </c>
      <c r="G24" s="23">
        <f t="shared" si="6"/>
        <v>3348383772.2705007</v>
      </c>
      <c r="H24" s="23">
        <f t="shared" si="6"/>
        <v>3796043065.7147036</v>
      </c>
      <c r="I24" s="23">
        <f t="shared" si="6"/>
        <v>4022191192.6099997</v>
      </c>
      <c r="J24" s="23">
        <f t="shared" si="6"/>
        <v>3684488152.5148368</v>
      </c>
      <c r="K24" s="23">
        <f t="shared" si="6"/>
        <v>4857726973.5384426</v>
      </c>
      <c r="L24" s="23">
        <f t="shared" si="6"/>
        <v>5115152585.1500883</v>
      </c>
      <c r="M24" s="23">
        <f t="shared" si="6"/>
        <v>6350784187.213789</v>
      </c>
      <c r="N24" s="23">
        <f t="shared" si="6"/>
        <v>47713648235.65432</v>
      </c>
    </row>
    <row r="25" spans="1:14" ht="21.75" customHeight="1" thickBot="1" x14ac:dyDescent="0.3">
      <c r="A25" s="52" t="s">
        <v>18</v>
      </c>
      <c r="B25" s="44">
        <v>135525889.69999999</v>
      </c>
      <c r="C25" s="44">
        <v>328322037.52999997</v>
      </c>
      <c r="D25" s="55">
        <v>574792757.91000009</v>
      </c>
      <c r="E25" s="44">
        <v>235870171.61765599</v>
      </c>
      <c r="F25" s="44">
        <v>436970011.06999999</v>
      </c>
      <c r="G25" s="44">
        <v>400014067.15000004</v>
      </c>
      <c r="H25" s="44">
        <v>450384627.00928003</v>
      </c>
      <c r="I25" s="46">
        <v>597637946.98000002</v>
      </c>
      <c r="J25" s="47">
        <v>475471790.35829896</v>
      </c>
      <c r="K25" s="48">
        <v>549573372.17189193</v>
      </c>
      <c r="L25" s="48">
        <v>595116160.33689404</v>
      </c>
      <c r="M25" s="44">
        <f>736288875.795572-60724485.43</f>
        <v>675564390.36557209</v>
      </c>
      <c r="N25" s="29">
        <f t="shared" ref="N25:N30" si="7">B25+C25+D25+E25+F25+G25+H25+I25+J25+K25+L25+M25</f>
        <v>5455243222.1995926</v>
      </c>
    </row>
    <row r="26" spans="1:14" ht="21.75" customHeight="1" thickBot="1" x14ac:dyDescent="0.3">
      <c r="A26" s="43" t="s">
        <v>19</v>
      </c>
      <c r="B26" s="44">
        <v>79372970.790000007</v>
      </c>
      <c r="C26" s="44">
        <v>19132266.219999999</v>
      </c>
      <c r="D26" s="55">
        <v>237780036.44000003</v>
      </c>
      <c r="E26" s="44">
        <v>102983869.74421801</v>
      </c>
      <c r="F26" s="44">
        <v>112602622.48</v>
      </c>
      <c r="G26" s="44">
        <v>42079772.130000003</v>
      </c>
      <c r="H26" s="44">
        <v>117648090.84076799</v>
      </c>
      <c r="I26" s="50">
        <v>139794184.72</v>
      </c>
      <c r="J26" s="47">
        <v>223418299.304818</v>
      </c>
      <c r="K26" s="48">
        <v>60404398.02353099</v>
      </c>
      <c r="L26" s="48">
        <f>2*146465175.713097</f>
        <v>292930351.42619401</v>
      </c>
      <c r="M26" s="44">
        <f>255798730.428216+3273864.61</f>
        <v>259072595.03821602</v>
      </c>
      <c r="N26" s="29">
        <f t="shared" si="7"/>
        <v>1687219457.1577451</v>
      </c>
    </row>
    <row r="27" spans="1:14" ht="21.75" customHeight="1" thickBot="1" x14ac:dyDescent="0.3">
      <c r="A27" s="43" t="s">
        <v>20</v>
      </c>
      <c r="B27" s="44">
        <v>4447327.9000000004</v>
      </c>
      <c r="C27" s="44">
        <v>238919.67999999999</v>
      </c>
      <c r="D27" s="55">
        <v>24531083.580000002</v>
      </c>
      <c r="E27" s="44">
        <v>2813017</v>
      </c>
      <c r="F27" s="44">
        <v>12497778.25</v>
      </c>
      <c r="G27" s="44">
        <v>4570296.79</v>
      </c>
      <c r="H27" s="44">
        <v>238863.96</v>
      </c>
      <c r="I27" s="50">
        <v>274443953.58999997</v>
      </c>
      <c r="J27" s="47">
        <v>144016916.02000001</v>
      </c>
      <c r="K27" s="48">
        <v>40413911.509999998</v>
      </c>
      <c r="L27" s="48">
        <v>76088521.430000007</v>
      </c>
      <c r="M27" s="44">
        <f>169149347.3+4165916.16</f>
        <v>173315263.46000001</v>
      </c>
      <c r="N27" s="29">
        <f t="shared" si="7"/>
        <v>757615853.17000008</v>
      </c>
    </row>
    <row r="28" spans="1:14" ht="21.75" customHeight="1" thickBot="1" x14ac:dyDescent="0.3">
      <c r="A28" s="43" t="s">
        <v>21</v>
      </c>
      <c r="B28" s="44">
        <v>3077150</v>
      </c>
      <c r="C28" s="44">
        <v>7827900</v>
      </c>
      <c r="D28" s="55">
        <v>15008750</v>
      </c>
      <c r="E28" s="44">
        <v>12078500</v>
      </c>
      <c r="F28" s="44">
        <v>15960770</v>
      </c>
      <c r="G28" s="44">
        <v>17742600</v>
      </c>
      <c r="H28" s="44">
        <v>13749170.800000001</v>
      </c>
      <c r="I28" s="50">
        <v>15675670.800000001</v>
      </c>
      <c r="J28" s="47">
        <v>17423216</v>
      </c>
      <c r="K28" s="48">
        <v>17947260</v>
      </c>
      <c r="L28" s="48">
        <v>17158975.32</v>
      </c>
      <c r="M28" s="44">
        <f>12241200-650170.8</f>
        <v>11591029.199999999</v>
      </c>
      <c r="N28" s="29">
        <f t="shared" si="7"/>
        <v>165240992.11999997</v>
      </c>
    </row>
    <row r="29" spans="1:14" ht="21.75" customHeight="1" thickBot="1" x14ac:dyDescent="0.3">
      <c r="A29" s="43" t="s">
        <v>22</v>
      </c>
      <c r="B29" s="44">
        <v>2551435079.6599998</v>
      </c>
      <c r="C29" s="44">
        <v>2427088850.0100002</v>
      </c>
      <c r="D29" s="55">
        <v>2887648349.9200006</v>
      </c>
      <c r="E29" s="44">
        <v>2782503902.5000849</v>
      </c>
      <c r="F29" s="44">
        <v>3528326924.6999998</v>
      </c>
      <c r="G29" s="44">
        <v>2883971952.6505003</v>
      </c>
      <c r="H29" s="44">
        <v>3214021542.3646555</v>
      </c>
      <c r="I29" s="50">
        <v>2994639436.52</v>
      </c>
      <c r="J29" s="47">
        <v>2824157930.8317199</v>
      </c>
      <c r="K29" s="48">
        <v>4189388031.8330193</v>
      </c>
      <c r="L29" s="48">
        <f>2*2066928174.7685</f>
        <v>4133856349.5370002</v>
      </c>
      <c r="M29" s="44">
        <f>5260610754.52-29766483.98</f>
        <v>5230844270.5400009</v>
      </c>
      <c r="N29" s="29">
        <f t="shared" si="7"/>
        <v>39647882621.066978</v>
      </c>
    </row>
    <row r="30" spans="1:14" ht="21.75" customHeight="1" thickBot="1" x14ac:dyDescent="0.3">
      <c r="A30" s="43" t="s">
        <v>23</v>
      </c>
      <c r="B30" s="54">
        <v>17469.8</v>
      </c>
      <c r="C30" s="54"/>
      <c r="D30" s="55"/>
      <c r="E30" s="44">
        <v>23900.14</v>
      </c>
      <c r="F30" s="44"/>
      <c r="G30" s="44">
        <v>5083.55</v>
      </c>
      <c r="H30" s="44">
        <v>770.74</v>
      </c>
      <c r="I30" s="44"/>
      <c r="J30" s="47"/>
      <c r="K30" s="48"/>
      <c r="L30" s="48">
        <v>2227.1</v>
      </c>
      <c r="M30" s="44">
        <v>396638.61</v>
      </c>
      <c r="N30" s="29">
        <f t="shared" si="7"/>
        <v>446089.94</v>
      </c>
    </row>
    <row r="31" spans="1:14" ht="21.75" customHeight="1" thickBot="1" x14ac:dyDescent="0.3">
      <c r="A31" s="22" t="s">
        <v>24</v>
      </c>
      <c r="B31" s="23">
        <f>SUM(B32:B34)</f>
        <v>298483112.19</v>
      </c>
      <c r="C31" s="23">
        <f t="shared" ref="C31:N31" si="8">SUM(C32:C34)</f>
        <v>339180118.02999997</v>
      </c>
      <c r="D31" s="23">
        <f t="shared" si="8"/>
        <v>561931797.37</v>
      </c>
      <c r="E31" s="23">
        <f t="shared" si="8"/>
        <v>400901468.99299997</v>
      </c>
      <c r="F31" s="23">
        <f t="shared" si="8"/>
        <v>494946272.352</v>
      </c>
      <c r="G31" s="23">
        <f t="shared" si="8"/>
        <v>406105659.59994739</v>
      </c>
      <c r="H31" s="23">
        <f t="shared" si="8"/>
        <v>832513556.3936125</v>
      </c>
      <c r="I31" s="23">
        <f t="shared" si="8"/>
        <v>419395090.73000002</v>
      </c>
      <c r="J31" s="23">
        <f t="shared" si="8"/>
        <v>2012149513.6276841</v>
      </c>
      <c r="K31" s="23">
        <f t="shared" si="8"/>
        <v>887039793.81894791</v>
      </c>
      <c r="L31" s="23">
        <f t="shared" si="8"/>
        <v>612832272.03882408</v>
      </c>
      <c r="M31" s="23">
        <f t="shared" si="8"/>
        <v>763208737.96999991</v>
      </c>
      <c r="N31" s="23">
        <f t="shared" si="8"/>
        <v>8028687393.1140156</v>
      </c>
    </row>
    <row r="32" spans="1:14" ht="21.75" customHeight="1" thickBot="1" x14ac:dyDescent="0.3">
      <c r="A32" s="43" t="s">
        <v>25</v>
      </c>
      <c r="B32" s="54">
        <f>16944996.8+14009754.74</f>
        <v>30954751.539999999</v>
      </c>
      <c r="C32" s="54">
        <f>4484347.28+4078347.43</f>
        <v>8562694.7100000009</v>
      </c>
      <c r="D32" s="55"/>
      <c r="E32" s="44">
        <v>2320840</v>
      </c>
      <c r="F32" s="44">
        <v>6821480</v>
      </c>
      <c r="G32" s="62">
        <v>3006080</v>
      </c>
      <c r="H32" s="44"/>
      <c r="I32" s="63">
        <v>1195385.74</v>
      </c>
      <c r="J32" s="47">
        <v>2214359.4950000001</v>
      </c>
      <c r="K32" s="48">
        <v>5452891.0600000005</v>
      </c>
      <c r="L32" s="48">
        <v>7286681.3599999994</v>
      </c>
      <c r="M32" s="44">
        <v>8186892.0899999999</v>
      </c>
      <c r="N32" s="29">
        <f>B32+C32+D32+E32+F32+G32+H32+I32+J32+K32+L32+M32</f>
        <v>76002055.995000005</v>
      </c>
    </row>
    <row r="33" spans="1:14" ht="21.75" customHeight="1" thickBot="1" x14ac:dyDescent="0.3">
      <c r="A33" s="43" t="s">
        <v>26</v>
      </c>
      <c r="B33" s="44">
        <v>267528360.65000001</v>
      </c>
      <c r="C33" s="54">
        <v>330617423.31999999</v>
      </c>
      <c r="D33" s="55">
        <v>561931797.37</v>
      </c>
      <c r="E33" s="44">
        <v>398580628.99299997</v>
      </c>
      <c r="F33" s="44">
        <v>488124792.352</v>
      </c>
      <c r="G33" s="64">
        <v>403099579.59994739</v>
      </c>
      <c r="H33" s="44">
        <v>445939061.3936125</v>
      </c>
      <c r="I33" s="50">
        <v>418199704.99000001</v>
      </c>
      <c r="J33" s="47">
        <v>411331073.74268395</v>
      </c>
      <c r="K33" s="48">
        <v>617810089.62894797</v>
      </c>
      <c r="L33" s="48">
        <v>605545590.67882407</v>
      </c>
      <c r="M33" s="44">
        <v>755021845.87999988</v>
      </c>
      <c r="N33" s="29">
        <f>B33+C33+D33+E33+F33+G33+H33+I33+J33+K33+L33+M33</f>
        <v>5703729948.5990162</v>
      </c>
    </row>
    <row r="34" spans="1:14" ht="21.75" customHeight="1" thickBot="1" x14ac:dyDescent="0.3">
      <c r="A34" s="43" t="s">
        <v>27</v>
      </c>
      <c r="B34" s="54"/>
      <c r="C34" s="54"/>
      <c r="D34" s="55"/>
      <c r="E34" s="44"/>
      <c r="F34" s="44"/>
      <c r="G34" s="44"/>
      <c r="H34" s="44">
        <v>386574495</v>
      </c>
      <c r="I34" s="44"/>
      <c r="J34" s="47">
        <v>1598604080.3900001</v>
      </c>
      <c r="K34" s="48">
        <v>263776813.13</v>
      </c>
      <c r="L34" s="51"/>
      <c r="M34" s="44"/>
      <c r="N34" s="29">
        <f>B34+C34+D34+E34+F34+G34+H34+I34+J34+K34+L34+M34</f>
        <v>2248955388.52</v>
      </c>
    </row>
    <row r="35" spans="1:14" ht="21.75" customHeight="1" thickBot="1" x14ac:dyDescent="0.3">
      <c r="A35" s="22" t="s">
        <v>28</v>
      </c>
      <c r="B35" s="23">
        <f>SUM(B36:B39)</f>
        <v>5771184736.0699997</v>
      </c>
      <c r="C35" s="23">
        <f>SUM(C36:C39)</f>
        <v>6922635764.8699999</v>
      </c>
      <c r="D35" s="23">
        <f t="shared" ref="D35:M35" si="9">+D36+D37+D38+D39</f>
        <v>7318394893.2198315</v>
      </c>
      <c r="E35" s="23">
        <f>+E36+E37+E38+E39</f>
        <v>6779180757.0406952</v>
      </c>
      <c r="F35" s="23">
        <f>+F36+F37+F38+F39</f>
        <v>8903482645.0749664</v>
      </c>
      <c r="G35" s="23">
        <f t="shared" si="9"/>
        <v>9416146242.3448963</v>
      </c>
      <c r="H35" s="23">
        <f t="shared" si="9"/>
        <v>9468169365.0987473</v>
      </c>
      <c r="I35" s="23">
        <f>+I36+I37+I38+I39</f>
        <v>9740202910.413126</v>
      </c>
      <c r="J35" s="23">
        <f t="shared" si="9"/>
        <v>10681095658.113729</v>
      </c>
      <c r="K35" s="23">
        <f t="shared" si="9"/>
        <v>12077661149.020708</v>
      </c>
      <c r="L35" s="23">
        <f>+L36+L37+L38+L39</f>
        <v>11883053219.843489</v>
      </c>
      <c r="M35" s="23">
        <f t="shared" si="9"/>
        <v>13098602668.26339</v>
      </c>
      <c r="N35" s="23">
        <f>+N36+N37+N38+N39</f>
        <v>112059810009.37358</v>
      </c>
    </row>
    <row r="36" spans="1:14" ht="21.75" customHeight="1" thickBot="1" x14ac:dyDescent="0.3">
      <c r="A36" s="52" t="s">
        <v>29</v>
      </c>
      <c r="B36" s="44">
        <v>2934835131.54</v>
      </c>
      <c r="C36" s="44">
        <v>5240256001.6899996</v>
      </c>
      <c r="D36" s="55">
        <v>4486502156.7200003</v>
      </c>
      <c r="E36" s="44">
        <v>4528006123.1899986</v>
      </c>
      <c r="F36" s="44">
        <v>5487627257.9799957</v>
      </c>
      <c r="G36" s="44">
        <v>5472484035.6900024</v>
      </c>
      <c r="H36" s="44">
        <v>5808507406.5399981</v>
      </c>
      <c r="I36" s="63">
        <v>5693276433.1000004</v>
      </c>
      <c r="J36" s="47">
        <v>6763316314.2999964</v>
      </c>
      <c r="K36" s="48">
        <v>7783393922.2199993</v>
      </c>
      <c r="L36" s="65">
        <v>8014661576.5400009</v>
      </c>
      <c r="M36" s="44">
        <v>8659610191.5100002</v>
      </c>
      <c r="N36" s="29">
        <f>B36+C36+D36+E36+F36+G36+H36+I36+J36+K36+L36+M36</f>
        <v>70872476551.019989</v>
      </c>
    </row>
    <row r="37" spans="1:14" ht="21.75" customHeight="1" thickBot="1" x14ac:dyDescent="0.3">
      <c r="A37" s="43" t="s">
        <v>30</v>
      </c>
      <c r="B37" s="44">
        <v>460731468.93000001</v>
      </c>
      <c r="C37" s="44">
        <v>254492942.59999999</v>
      </c>
      <c r="D37" s="55">
        <v>357709308.07999998</v>
      </c>
      <c r="E37" s="44">
        <v>496950992.37</v>
      </c>
      <c r="F37" s="44">
        <v>433879141.3499999</v>
      </c>
      <c r="G37" s="44">
        <v>367009348.31999999</v>
      </c>
      <c r="H37" s="44">
        <v>439661325.02000004</v>
      </c>
      <c r="I37" s="50">
        <v>320967346.83999997</v>
      </c>
      <c r="J37" s="47">
        <v>368935726.97999996</v>
      </c>
      <c r="K37" s="48">
        <v>363440379.33000004</v>
      </c>
      <c r="L37" s="65">
        <v>654415553.38999999</v>
      </c>
      <c r="M37" s="44">
        <v>844658450.11000001</v>
      </c>
      <c r="N37" s="29">
        <f>B37+C37+D37+E37+F37+G37+H37+I37+J37+K37+L37+M37</f>
        <v>5362851983.3199997</v>
      </c>
    </row>
    <row r="38" spans="1:14" ht="21.75" customHeight="1" thickBot="1" x14ac:dyDescent="0.3">
      <c r="A38" s="43" t="s">
        <v>31</v>
      </c>
      <c r="B38" s="44">
        <v>2489386545</v>
      </c>
      <c r="C38" s="44">
        <v>2774104540.46</v>
      </c>
      <c r="D38" s="55">
        <v>3345422655.6599998</v>
      </c>
      <c r="E38" s="44">
        <v>3225286530.8893261</v>
      </c>
      <c r="F38" s="44">
        <v>3543562256.5186129</v>
      </c>
      <c r="G38" s="44">
        <v>3808637498.4196448</v>
      </c>
      <c r="H38" s="44">
        <v>3673908447.3987503</v>
      </c>
      <c r="I38" s="50">
        <v>3958248836.0700002</v>
      </c>
      <c r="J38" s="47">
        <v>4022097692.9621067</v>
      </c>
      <c r="K38" s="48">
        <v>4527920067.0906792</v>
      </c>
      <c r="L38" s="65">
        <v>4734743469.7378387</v>
      </c>
      <c r="M38" s="44">
        <v>5338516848.7700882</v>
      </c>
      <c r="N38" s="29">
        <f>B38+C38+D38+E38+F38+G38+H38+I38+J38+K38+L38+M38</f>
        <v>45441835388.977043</v>
      </c>
    </row>
    <row r="39" spans="1:14" ht="21.75" customHeight="1" thickBot="1" x14ac:dyDescent="0.3">
      <c r="A39" s="43" t="s">
        <v>32</v>
      </c>
      <c r="B39" s="54">
        <v>-113768409.40000001</v>
      </c>
      <c r="C39" s="44">
        <v>-1346217719.8800001</v>
      </c>
      <c r="D39" s="55">
        <v>-871239227.24016905</v>
      </c>
      <c r="E39" s="44">
        <v>-1471062889.4086299</v>
      </c>
      <c r="F39" s="44">
        <v>-561586010.77364397</v>
      </c>
      <c r="G39" s="44">
        <v>-231984640.08475199</v>
      </c>
      <c r="H39" s="44">
        <v>-453907813.86000001</v>
      </c>
      <c r="I39" s="44">
        <v>-232289705.596874</v>
      </c>
      <c r="J39" s="47">
        <v>-473254076.12837499</v>
      </c>
      <c r="K39" s="48">
        <v>-597093219.61997104</v>
      </c>
      <c r="L39" s="44">
        <v>-1520767379.8243501</v>
      </c>
      <c r="M39" s="44">
        <v>-1744182822.1266999</v>
      </c>
      <c r="N39" s="29">
        <f>B39+C39+D39+E39+F39+G39+H39+I39+J39+K39+L39+M39</f>
        <v>-9617353913.9434662</v>
      </c>
    </row>
    <row r="40" spans="1:14" ht="21.75" customHeight="1" thickBot="1" x14ac:dyDescent="0.3">
      <c r="A40" s="43"/>
      <c r="B40" s="54"/>
      <c r="C40" s="54"/>
      <c r="D40" s="55"/>
      <c r="E40" s="44"/>
      <c r="F40" s="44"/>
      <c r="G40" s="44"/>
      <c r="H40" s="44"/>
      <c r="I40" s="44"/>
      <c r="J40" s="47"/>
      <c r="K40" s="48"/>
      <c r="L40" s="51"/>
      <c r="M40" s="44"/>
      <c r="N40" s="29"/>
    </row>
    <row r="41" spans="1:14" ht="21.75" customHeight="1" thickBot="1" x14ac:dyDescent="0.3">
      <c r="A41" s="22" t="s">
        <v>33</v>
      </c>
      <c r="B41" s="23">
        <f>SUM(B42:B46)</f>
        <v>1787852621.03</v>
      </c>
      <c r="C41" s="23">
        <f t="shared" ref="C41:N41" si="10">SUM(C42:C46)</f>
        <v>2522964841.1800003</v>
      </c>
      <c r="D41" s="23">
        <f t="shared" si="10"/>
        <v>2891384429.9300003</v>
      </c>
      <c r="E41" s="23">
        <f t="shared" si="10"/>
        <v>2525689346.96</v>
      </c>
      <c r="F41" s="23">
        <f t="shared" si="10"/>
        <v>2561578866.4900007</v>
      </c>
      <c r="G41" s="23">
        <f t="shared" si="10"/>
        <v>3574154846.2700005</v>
      </c>
      <c r="H41" s="23">
        <f t="shared" si="10"/>
        <v>2033343957.9100001</v>
      </c>
      <c r="I41" s="23">
        <f t="shared" si="10"/>
        <v>1871587365.2600002</v>
      </c>
      <c r="J41" s="23">
        <f t="shared" si="10"/>
        <v>2096583515.5200002</v>
      </c>
      <c r="K41" s="23">
        <f t="shared" si="10"/>
        <v>2158374144.6100011</v>
      </c>
      <c r="L41" s="23">
        <f t="shared" si="10"/>
        <v>2761146558.9400001</v>
      </c>
      <c r="M41" s="23">
        <f t="shared" si="10"/>
        <v>4136847641.0799999</v>
      </c>
      <c r="N41" s="23">
        <f t="shared" si="10"/>
        <v>30921508135.180004</v>
      </c>
    </row>
    <row r="42" spans="1:14" ht="21.75" customHeight="1" thickBot="1" x14ac:dyDescent="0.3">
      <c r="A42" s="43" t="s">
        <v>34</v>
      </c>
      <c r="B42" s="44"/>
      <c r="C42" s="44"/>
      <c r="D42" s="45"/>
      <c r="E42" s="44">
        <v>132575145.5</v>
      </c>
      <c r="F42" s="44">
        <v>261849861.99000007</v>
      </c>
      <c r="G42" s="44">
        <v>201879679.09999999</v>
      </c>
      <c r="H42" s="44">
        <v>99855846.010000005</v>
      </c>
      <c r="I42" s="46">
        <v>56299965.219999999</v>
      </c>
      <c r="J42" s="47">
        <v>21894663.149999999</v>
      </c>
      <c r="K42" s="48">
        <v>13875466.289999999</v>
      </c>
      <c r="L42" s="48">
        <v>370950.49</v>
      </c>
      <c r="M42" s="44">
        <v>50862.89</v>
      </c>
      <c r="N42" s="29">
        <f>B42+C42+D42+E42+F42+G42+H42+I42+J42+K42+L42+M42</f>
        <v>788652440.63999999</v>
      </c>
    </row>
    <row r="43" spans="1:14" ht="21.75" customHeight="1" thickBot="1" x14ac:dyDescent="0.3">
      <c r="A43" s="43" t="s">
        <v>35</v>
      </c>
      <c r="B43" s="44">
        <v>1157090603.01</v>
      </c>
      <c r="C43" s="44">
        <v>420824975.75999999</v>
      </c>
      <c r="D43" s="45">
        <v>1768387024.5200002</v>
      </c>
      <c r="E43" s="44">
        <v>1281746571.3399999</v>
      </c>
      <c r="F43" s="44">
        <v>1042326842.9499999</v>
      </c>
      <c r="G43" s="44">
        <v>2028521035.9300001</v>
      </c>
      <c r="H43" s="44">
        <v>709262442.11000001</v>
      </c>
      <c r="I43" s="50">
        <v>604089716.97000003</v>
      </c>
      <c r="J43" s="47">
        <f>501764468.29+193117344</f>
        <v>694881812.28999996</v>
      </c>
      <c r="K43" s="48">
        <v>724437477.38999999</v>
      </c>
      <c r="L43" s="48">
        <v>991791668.54999995</v>
      </c>
      <c r="M43" s="44">
        <f>2049788694.83+280990978</f>
        <v>2330779672.8299999</v>
      </c>
      <c r="N43" s="29">
        <f>B43+C43+D43+E43+F43+G43+H43+I43+J43+K43+L43+M43</f>
        <v>13754139843.65</v>
      </c>
    </row>
    <row r="44" spans="1:14" ht="21.75" customHeight="1" thickBot="1" x14ac:dyDescent="0.3">
      <c r="A44" s="43" t="s">
        <v>36</v>
      </c>
      <c r="B44" s="44">
        <f>211149877.36*2</f>
        <v>422299754.72000003</v>
      </c>
      <c r="C44" s="44">
        <f>410750831.38*2</f>
        <v>821501662.75999999</v>
      </c>
      <c r="D44" s="55">
        <f>252090836.55*2</f>
        <v>504181673.10000002</v>
      </c>
      <c r="E44" s="44">
        <f>337745674.005*2</f>
        <v>675491348.00999999</v>
      </c>
      <c r="F44" s="44">
        <f>261625497.14*2</f>
        <v>523250994.27999997</v>
      </c>
      <c r="G44" s="44">
        <f>411668944.325*2</f>
        <v>823337888.64999998</v>
      </c>
      <c r="H44" s="44">
        <f>360025362.715*2</f>
        <v>720050725.42999995</v>
      </c>
      <c r="I44" s="50">
        <f>396360687.61*2</f>
        <v>792721375.22000003</v>
      </c>
      <c r="J44" s="47">
        <f>441774370.72*2</f>
        <v>883548741.44000006</v>
      </c>
      <c r="K44" s="48">
        <v>873886650.89999998</v>
      </c>
      <c r="L44" s="48">
        <v>1124668258.8</v>
      </c>
      <c r="M44" s="44">
        <f>2*543244083.25+1899.98</f>
        <v>1086490066.48</v>
      </c>
      <c r="N44" s="29">
        <f>B44+C44+D44+E44+F44+G44+H44+I44+J44+K44+L44+M44</f>
        <v>9251429139.7900009</v>
      </c>
    </row>
    <row r="45" spans="1:14" ht="21.75" customHeight="1" thickBot="1" x14ac:dyDescent="0.3">
      <c r="A45" s="43" t="s">
        <v>37</v>
      </c>
      <c r="B45" s="54">
        <v>208462263.30000001</v>
      </c>
      <c r="C45" s="54">
        <v>1280638202.6600001</v>
      </c>
      <c r="D45" s="55">
        <v>618815732.30999994</v>
      </c>
      <c r="E45" s="44">
        <v>435876282.11000007</v>
      </c>
      <c r="F45" s="44">
        <v>734151167.2700007</v>
      </c>
      <c r="G45" s="44">
        <v>520416242.59000003</v>
      </c>
      <c r="H45" s="44">
        <v>504174944.36000013</v>
      </c>
      <c r="I45" s="50">
        <v>418476307.85000002</v>
      </c>
      <c r="J45" s="47">
        <v>496258298.64000005</v>
      </c>
      <c r="K45" s="48">
        <v>546174550.03000104</v>
      </c>
      <c r="L45" s="48">
        <v>644315681.10000002</v>
      </c>
      <c r="M45" s="44">
        <f>615260039.29+104266999.59</f>
        <v>719527038.88</v>
      </c>
      <c r="N45" s="29">
        <f>B45+C45+D45+E45+F45+G45+H45+I45+J45+K45+L45+M45</f>
        <v>7127286711.1000023</v>
      </c>
    </row>
    <row r="46" spans="1:14" ht="21.75" customHeight="1" thickBot="1" x14ac:dyDescent="0.3">
      <c r="A46" s="43"/>
      <c r="B46" s="54"/>
      <c r="C46" s="54"/>
      <c r="D46" s="55"/>
      <c r="E46" s="44"/>
      <c r="F46" s="44"/>
      <c r="G46" s="44"/>
      <c r="H46" s="44"/>
      <c r="I46" s="44"/>
      <c r="J46" s="47"/>
      <c r="K46" s="48"/>
      <c r="L46" s="51"/>
      <c r="M46" s="44"/>
      <c r="N46" s="29"/>
    </row>
    <row r="47" spans="1:14" ht="21.75" customHeight="1" thickBot="1" x14ac:dyDescent="0.3">
      <c r="A47" s="22" t="s">
        <v>38</v>
      </c>
      <c r="B47" s="23">
        <f>SUM(B48:B49)</f>
        <v>2549173327.2399998</v>
      </c>
      <c r="C47" s="23">
        <f>SUM(C48:C49)</f>
        <v>2228526820.0300002</v>
      </c>
      <c r="D47" s="23">
        <f t="shared" ref="D47:M47" si="11">SUM(D48:D49)</f>
        <v>2430685512.4899998</v>
      </c>
      <c r="E47" s="23">
        <f t="shared" si="11"/>
        <v>2809326705.46</v>
      </c>
      <c r="F47" s="23">
        <f>SUM(F48:F49)</f>
        <v>3075040979.1799998</v>
      </c>
      <c r="G47" s="23">
        <f t="shared" si="11"/>
        <v>3465041139.4199996</v>
      </c>
      <c r="H47" s="23">
        <f t="shared" si="11"/>
        <v>3992443339.0500002</v>
      </c>
      <c r="I47" s="23">
        <f t="shared" si="11"/>
        <v>4258116468.5500002</v>
      </c>
      <c r="J47" s="23">
        <f t="shared" si="11"/>
        <v>4173865143.0799994</v>
      </c>
      <c r="K47" s="23">
        <f t="shared" si="11"/>
        <v>4921683744.5599995</v>
      </c>
      <c r="L47" s="23">
        <f t="shared" si="11"/>
        <v>5344084880.1499996</v>
      </c>
      <c r="M47" s="23">
        <f t="shared" si="11"/>
        <v>5445932941.1300001</v>
      </c>
      <c r="N47" s="23">
        <f>SUM(N48:N49)</f>
        <v>44693921000.340004</v>
      </c>
    </row>
    <row r="48" spans="1:14" ht="21.75" customHeight="1" thickBot="1" x14ac:dyDescent="0.3">
      <c r="A48" s="43" t="s">
        <v>39</v>
      </c>
      <c r="B48" s="66">
        <v>2548466299.2199998</v>
      </c>
      <c r="C48" s="67">
        <v>2228257159.1300001</v>
      </c>
      <c r="D48" s="68">
        <v>2430403060.0299997</v>
      </c>
      <c r="E48" s="67">
        <v>2807949184.7200003</v>
      </c>
      <c r="F48" s="67">
        <v>3074552757</v>
      </c>
      <c r="G48" s="67">
        <v>3463949973.5699997</v>
      </c>
      <c r="H48" s="67">
        <v>3990708202.9200001</v>
      </c>
      <c r="I48" s="63">
        <v>4256053580.5</v>
      </c>
      <c r="J48" s="63">
        <v>4172744484.2699995</v>
      </c>
      <c r="K48" s="69">
        <v>4920173199.1799994</v>
      </c>
      <c r="L48" s="69">
        <v>5344084880.1499996</v>
      </c>
      <c r="M48" s="67">
        <f>6190042106.18-748766729.6</f>
        <v>5441275376.5799999</v>
      </c>
      <c r="N48" s="29">
        <f>B48+C48+D48+E48+F48+G48+H48+I48+J48+K48+L48+M48</f>
        <v>44678618157.270004</v>
      </c>
    </row>
    <row r="49" spans="1:14" ht="21.75" customHeight="1" thickBot="1" x14ac:dyDescent="0.3">
      <c r="A49" s="43" t="s">
        <v>40</v>
      </c>
      <c r="B49" s="54">
        <v>707028.02</v>
      </c>
      <c r="C49" s="54">
        <v>269660.90000000002</v>
      </c>
      <c r="D49" s="55">
        <v>282452.46000000002</v>
      </c>
      <c r="E49" s="44">
        <v>1377520.74</v>
      </c>
      <c r="F49" s="44">
        <v>488222.18000000005</v>
      </c>
      <c r="G49" s="44">
        <v>1091165.8500000001</v>
      </c>
      <c r="H49" s="44">
        <v>1735136.1300000001</v>
      </c>
      <c r="I49" s="50">
        <v>2062888.05</v>
      </c>
      <c r="J49" s="63">
        <v>1120658.81</v>
      </c>
      <c r="K49" s="48">
        <v>1510545.3800000001</v>
      </c>
      <c r="L49" s="48"/>
      <c r="M49" s="44">
        <f>1359194.26+3298370.29</f>
        <v>4657564.55</v>
      </c>
      <c r="N49" s="29">
        <f>B49+C49+D49+E49+F49+G49+H49+I49+J49+K49+L49+M49</f>
        <v>15302843.07</v>
      </c>
    </row>
    <row r="50" spans="1:14" ht="21.75" customHeight="1" thickBot="1" x14ac:dyDescent="0.3">
      <c r="A50" s="43"/>
      <c r="B50" s="54"/>
      <c r="C50" s="54"/>
      <c r="D50" s="55"/>
      <c r="E50" s="44"/>
      <c r="F50" s="44"/>
      <c r="G50" s="44"/>
      <c r="H50" s="44"/>
      <c r="I50" s="44"/>
      <c r="J50" s="47"/>
      <c r="K50" s="48"/>
      <c r="L50" s="51"/>
      <c r="M50" s="44"/>
      <c r="N50" s="29"/>
    </row>
    <row r="51" spans="1:14" ht="21.75" customHeight="1" thickBot="1" x14ac:dyDescent="0.3">
      <c r="A51" s="22" t="s">
        <v>41</v>
      </c>
      <c r="B51" s="23">
        <f>SUM(B52:B53)</f>
        <v>54252629.950000003</v>
      </c>
      <c r="C51" s="23">
        <f>SUM(C52:C53)</f>
        <v>51608058.109999999</v>
      </c>
      <c r="D51" s="23">
        <f t="shared" ref="D51:M51" si="12">SUM(D52:D53)</f>
        <v>55301922.460000008</v>
      </c>
      <c r="E51" s="23">
        <f>SUM(E52:E53)</f>
        <v>57656609.779999994</v>
      </c>
      <c r="F51" s="23">
        <f>SUM(F52:F53)</f>
        <v>52263352.99000001</v>
      </c>
      <c r="G51" s="23">
        <f t="shared" si="12"/>
        <v>64914582.029999994</v>
      </c>
      <c r="H51" s="23">
        <f t="shared" si="12"/>
        <v>110715052.65000001</v>
      </c>
      <c r="I51" s="23">
        <f>SUM(I52:I53)</f>
        <v>66327487.539999999</v>
      </c>
      <c r="J51" s="23">
        <f t="shared" si="12"/>
        <v>44559987.900000006</v>
      </c>
      <c r="K51" s="23">
        <f t="shared" si="12"/>
        <v>63041217.320000008</v>
      </c>
      <c r="L51" s="23">
        <f t="shared" si="12"/>
        <v>87352444.959999993</v>
      </c>
      <c r="M51" s="23">
        <f t="shared" si="12"/>
        <v>105641351.28</v>
      </c>
      <c r="N51" s="23">
        <f>SUM(N52:N53)</f>
        <v>813634696.97000015</v>
      </c>
    </row>
    <row r="52" spans="1:14" ht="21.75" customHeight="1" thickBot="1" x14ac:dyDescent="0.3">
      <c r="A52" s="43" t="s">
        <v>42</v>
      </c>
      <c r="B52" s="54">
        <v>54252629.950000003</v>
      </c>
      <c r="C52" s="54">
        <v>51608058.109999999</v>
      </c>
      <c r="D52" s="55">
        <v>55301922.460000008</v>
      </c>
      <c r="E52" s="44">
        <v>57656609.779999994</v>
      </c>
      <c r="F52" s="44">
        <v>52263352.99000001</v>
      </c>
      <c r="G52" s="44">
        <v>64914582.029999994</v>
      </c>
      <c r="H52" s="44">
        <v>110715052.65000001</v>
      </c>
      <c r="I52" s="46">
        <v>66327487.539999999</v>
      </c>
      <c r="J52" s="47">
        <v>44559987.900000006</v>
      </c>
      <c r="K52" s="48">
        <v>63041217.320000008</v>
      </c>
      <c r="L52" s="48">
        <v>87352444.959999993</v>
      </c>
      <c r="M52" s="44">
        <f>88531283.66+17110067.62</f>
        <v>105641351.28</v>
      </c>
      <c r="N52" s="29">
        <f>B52+C52+D52+E52+F52+G52+H52+I52+J52+K52+L52+M52</f>
        <v>813634696.97000015</v>
      </c>
    </row>
    <row r="53" spans="1:14" ht="21.75" customHeight="1" thickBot="1" x14ac:dyDescent="0.3">
      <c r="A53" s="43" t="s">
        <v>43</v>
      </c>
      <c r="B53" s="70"/>
      <c r="C53" s="70">
        <v>0</v>
      </c>
      <c r="D53" s="71"/>
      <c r="E53" s="70">
        <v>0</v>
      </c>
      <c r="F53" s="70"/>
      <c r="G53" s="70"/>
      <c r="H53" s="70"/>
      <c r="I53" s="72"/>
      <c r="J53" s="73"/>
      <c r="K53" s="74"/>
      <c r="L53" s="75"/>
      <c r="M53" s="70"/>
      <c r="N53" s="29">
        <f>B53+C53+D53+E53+F53+G53+H53+I53+J53+K53+L53+M53</f>
        <v>0</v>
      </c>
    </row>
    <row r="54" spans="1:14" ht="21.75" customHeight="1" thickBot="1" x14ac:dyDescent="0.3">
      <c r="A54" s="76"/>
      <c r="B54" s="77"/>
      <c r="C54" s="77"/>
      <c r="D54" s="78"/>
      <c r="E54" s="77"/>
      <c r="F54" s="77"/>
      <c r="G54" s="77"/>
      <c r="H54" s="79"/>
      <c r="I54" s="79"/>
      <c r="J54" s="80"/>
      <c r="K54" s="79"/>
      <c r="L54" s="81"/>
      <c r="M54" s="77"/>
      <c r="N54" s="82"/>
    </row>
    <row r="55" spans="1:14" ht="21.75" customHeight="1" thickBot="1" x14ac:dyDescent="0.3">
      <c r="A55" s="11" t="s">
        <v>44</v>
      </c>
      <c r="B55" s="12"/>
      <c r="C55" s="12"/>
      <c r="D55" s="13"/>
      <c r="E55" s="12"/>
      <c r="F55" s="12"/>
      <c r="G55" s="13"/>
      <c r="H55" s="14">
        <v>0</v>
      </c>
      <c r="I55" s="14"/>
      <c r="J55" s="14"/>
      <c r="K55" s="14"/>
      <c r="L55" s="14"/>
      <c r="M55" s="12"/>
      <c r="N55" s="83">
        <f>B55+C55+D55+E55+F55+G55+H55+I55+J55+K55+L55+M55</f>
        <v>0</v>
      </c>
    </row>
    <row r="56" spans="1:14" s="21" customFormat="1" ht="21.75" customHeight="1" thickBot="1" x14ac:dyDescent="0.3">
      <c r="A56" s="84"/>
      <c r="B56" s="85"/>
      <c r="C56" s="85"/>
      <c r="D56" s="86"/>
      <c r="E56" s="87"/>
      <c r="F56" s="87"/>
      <c r="G56" s="88"/>
      <c r="H56" s="88"/>
      <c r="I56" s="88"/>
      <c r="J56" s="88"/>
      <c r="K56" s="89"/>
      <c r="L56" s="89"/>
      <c r="M56" s="88"/>
      <c r="N56" s="29"/>
    </row>
    <row r="57" spans="1:14" ht="21.75" customHeight="1" thickBot="1" x14ac:dyDescent="0.3">
      <c r="A57" s="11" t="s">
        <v>45</v>
      </c>
      <c r="B57" s="12">
        <f>+B58+B66+B73</f>
        <v>901107661.86000001</v>
      </c>
      <c r="C57" s="12">
        <f t="shared" ref="C57:N57" si="13">+C58+C66+C73</f>
        <v>497543311.90000004</v>
      </c>
      <c r="D57" s="12">
        <f t="shared" si="13"/>
        <v>1613907397.4200001</v>
      </c>
      <c r="E57" s="12">
        <f t="shared" si="13"/>
        <v>849743747.56915188</v>
      </c>
      <c r="F57" s="12">
        <f t="shared" si="13"/>
        <v>2561991196.3099999</v>
      </c>
      <c r="G57" s="12">
        <f t="shared" si="13"/>
        <v>2457656089.4241095</v>
      </c>
      <c r="H57" s="12">
        <f t="shared" si="13"/>
        <v>2212337435.1309404</v>
      </c>
      <c r="I57" s="12">
        <f t="shared" si="13"/>
        <v>2603433952.6973844</v>
      </c>
      <c r="J57" s="12">
        <f t="shared" si="13"/>
        <v>7180649043.2271748</v>
      </c>
      <c r="K57" s="12">
        <f t="shared" si="13"/>
        <v>2794504109.7273574</v>
      </c>
      <c r="L57" s="12">
        <f t="shared" si="13"/>
        <v>5419016612.6517076</v>
      </c>
      <c r="M57" s="12">
        <f t="shared" si="13"/>
        <v>5173372320.8052645</v>
      </c>
      <c r="N57" s="12">
        <f t="shared" si="13"/>
        <v>34265262878.723087</v>
      </c>
    </row>
    <row r="58" spans="1:14" ht="21.75" customHeight="1" thickBot="1" x14ac:dyDescent="0.3">
      <c r="A58" s="22" t="s">
        <v>46</v>
      </c>
      <c r="B58" s="23">
        <f>SUM(B59:B64)</f>
        <v>38276825.32</v>
      </c>
      <c r="C58" s="23">
        <f>SUM(C59:C64)</f>
        <v>2858436.11</v>
      </c>
      <c r="D58" s="23">
        <f t="shared" ref="D58:N58" si="14">SUM(D59:D64)</f>
        <v>74237293.169999987</v>
      </c>
      <c r="E58" s="23">
        <f t="shared" si="14"/>
        <v>3657434.5461520003</v>
      </c>
      <c r="F58" s="23">
        <f t="shared" si="14"/>
        <v>211426680.72999999</v>
      </c>
      <c r="G58" s="23">
        <f t="shared" si="14"/>
        <v>23112617.313236002</v>
      </c>
      <c r="H58" s="23">
        <f t="shared" si="14"/>
        <v>2244441.71</v>
      </c>
      <c r="I58" s="23">
        <f t="shared" si="14"/>
        <v>78343956.25</v>
      </c>
      <c r="J58" s="23">
        <f t="shared" si="14"/>
        <v>3269565080.4900002</v>
      </c>
      <c r="K58" s="23">
        <f t="shared" si="14"/>
        <v>159551435.31</v>
      </c>
      <c r="L58" s="23">
        <f t="shared" si="14"/>
        <v>5648220.0700000003</v>
      </c>
      <c r="M58" s="23">
        <f t="shared" si="14"/>
        <v>31116558</v>
      </c>
      <c r="N58" s="23">
        <f t="shared" si="14"/>
        <v>3900038979.0193877</v>
      </c>
    </row>
    <row r="59" spans="1:14" ht="21.75" customHeight="1" thickBot="1" x14ac:dyDescent="0.3">
      <c r="A59" s="90" t="s">
        <v>47</v>
      </c>
      <c r="B59" s="91">
        <v>2819457.05</v>
      </c>
      <c r="C59" s="91">
        <v>2389558.2799999998</v>
      </c>
      <c r="D59" s="92">
        <v>74237293.169999987</v>
      </c>
      <c r="E59" s="93">
        <v>3657434.5461520003</v>
      </c>
      <c r="F59" s="93">
        <v>5645639.4100000001</v>
      </c>
      <c r="G59" s="94">
        <v>23112617.313236002</v>
      </c>
      <c r="H59" s="44">
        <v>2244441.71</v>
      </c>
      <c r="I59" s="94"/>
      <c r="J59" s="95">
        <v>219758531.10000002</v>
      </c>
      <c r="K59" s="96">
        <v>159551435.31</v>
      </c>
      <c r="L59" s="96">
        <v>5648220.0700000003</v>
      </c>
      <c r="M59" s="97">
        <v>31116558</v>
      </c>
      <c r="N59" s="29">
        <f t="shared" ref="N59:N65" si="15">B59+C59+D59+E59+F59+G59+H59+I59+J59+K59+L59+M59</f>
        <v>530181185.95938802</v>
      </c>
    </row>
    <row r="60" spans="1:14" ht="21.75" customHeight="1" thickBot="1" x14ac:dyDescent="0.3">
      <c r="A60" s="90" t="s">
        <v>48</v>
      </c>
      <c r="B60" s="54"/>
      <c r="C60" s="54"/>
      <c r="D60" s="45"/>
      <c r="E60" s="44"/>
      <c r="F60" s="44"/>
      <c r="G60" s="44"/>
      <c r="H60" s="44"/>
      <c r="I60" s="44">
        <v>78343956.25</v>
      </c>
      <c r="J60" s="47">
        <v>193117344</v>
      </c>
      <c r="K60" s="48"/>
      <c r="L60" s="51"/>
      <c r="M60" s="44"/>
      <c r="N60" s="29">
        <f t="shared" si="15"/>
        <v>271461300.25</v>
      </c>
    </row>
    <row r="61" spans="1:14" ht="21.75" customHeight="1" thickBot="1" x14ac:dyDescent="0.3">
      <c r="A61" s="90" t="s">
        <v>49</v>
      </c>
      <c r="B61" s="54">
        <v>10220422.24</v>
      </c>
      <c r="C61" s="54"/>
      <c r="D61" s="45"/>
      <c r="E61" s="44"/>
      <c r="F61" s="44"/>
      <c r="G61" s="44"/>
      <c r="H61" s="44"/>
      <c r="I61" s="44"/>
      <c r="J61" s="47">
        <f>1598604080.39+431036906+827048219</f>
        <v>2856689205.3900003</v>
      </c>
      <c r="K61" s="48"/>
      <c r="L61" s="51"/>
      <c r="M61" s="44"/>
      <c r="N61" s="29">
        <f t="shared" si="15"/>
        <v>2866909627.6300001</v>
      </c>
    </row>
    <row r="62" spans="1:14" s="103" customFormat="1" ht="21.75" customHeight="1" thickBot="1" x14ac:dyDescent="0.3">
      <c r="A62" s="98" t="s">
        <v>50</v>
      </c>
      <c r="B62" s="99"/>
      <c r="C62" s="54"/>
      <c r="D62" s="100"/>
      <c r="E62" s="100"/>
      <c r="F62" s="100"/>
      <c r="G62" s="100"/>
      <c r="H62" s="100"/>
      <c r="I62" s="100"/>
      <c r="J62" s="100"/>
      <c r="K62" s="100"/>
      <c r="L62" s="101"/>
      <c r="M62" s="102"/>
      <c r="N62" s="29">
        <f t="shared" si="15"/>
        <v>0</v>
      </c>
    </row>
    <row r="63" spans="1:14" ht="21.75" customHeight="1" thickBot="1" x14ac:dyDescent="0.3">
      <c r="A63" s="90" t="s">
        <v>51</v>
      </c>
      <c r="B63" s="54">
        <v>25236946.030000001</v>
      </c>
      <c r="C63" s="54">
        <v>468877.83</v>
      </c>
      <c r="D63" s="45"/>
      <c r="E63" s="44"/>
      <c r="F63" s="44">
        <v>205781041.31999999</v>
      </c>
      <c r="G63" s="93"/>
      <c r="H63" s="44"/>
      <c r="I63" s="44"/>
      <c r="J63" s="44"/>
      <c r="K63" s="44"/>
      <c r="L63" s="44"/>
      <c r="M63" s="44"/>
      <c r="N63" s="29">
        <f t="shared" si="15"/>
        <v>231486865.18000001</v>
      </c>
    </row>
    <row r="64" spans="1:14" ht="21.75" customHeight="1" thickBot="1" x14ac:dyDescent="0.3">
      <c r="A64" s="104" t="s">
        <v>52</v>
      </c>
      <c r="B64" s="54"/>
      <c r="C64" s="54"/>
      <c r="D64" s="45"/>
      <c r="E64" s="44"/>
      <c r="F64" s="44"/>
      <c r="G64" s="44"/>
      <c r="H64" s="44"/>
      <c r="I64" s="44"/>
      <c r="J64" s="47"/>
      <c r="K64" s="48"/>
      <c r="L64" s="51"/>
      <c r="M64" s="44"/>
      <c r="N64" s="29">
        <f t="shared" si="15"/>
        <v>0</v>
      </c>
    </row>
    <row r="65" spans="1:16" ht="21.75" customHeight="1" thickBot="1" x14ac:dyDescent="0.3">
      <c r="A65" s="104"/>
      <c r="B65" s="54"/>
      <c r="C65" s="54"/>
      <c r="D65" s="45"/>
      <c r="E65" s="44"/>
      <c r="F65" s="44"/>
      <c r="G65" s="44"/>
      <c r="H65" s="44"/>
      <c r="I65" s="44"/>
      <c r="J65" s="47"/>
      <c r="K65" s="48"/>
      <c r="L65" s="51"/>
      <c r="M65" s="44"/>
      <c r="N65" s="29">
        <f t="shared" si="15"/>
        <v>0</v>
      </c>
    </row>
    <row r="66" spans="1:16" ht="21.75" customHeight="1" thickBot="1" x14ac:dyDescent="0.3">
      <c r="A66" s="22" t="s">
        <v>53</v>
      </c>
      <c r="B66" s="23">
        <f>SUM(B67:B71)</f>
        <v>814998572.20999992</v>
      </c>
      <c r="C66" s="23">
        <f t="shared" ref="C66:H66" si="16">SUM(C67:C71)</f>
        <v>442571634.04000002</v>
      </c>
      <c r="D66" s="23">
        <f t="shared" si="16"/>
        <v>1344797560.8700001</v>
      </c>
      <c r="E66" s="23">
        <f t="shared" si="16"/>
        <v>799219589.35299993</v>
      </c>
      <c r="F66" s="23">
        <f t="shared" si="16"/>
        <v>2291126237.8800001</v>
      </c>
      <c r="G66" s="23">
        <f t="shared" si="16"/>
        <v>2376142336.0488734</v>
      </c>
      <c r="H66" s="23">
        <f t="shared" si="16"/>
        <v>2148924782.4109402</v>
      </c>
      <c r="I66" s="23">
        <f>SUM(I67:I71)</f>
        <v>2465931895.6373844</v>
      </c>
      <c r="J66" s="23">
        <f>SUM(J67:J71)</f>
        <v>3853873125.1471744</v>
      </c>
      <c r="K66" s="23">
        <f t="shared" ref="K66:L66" si="17">SUM(K67:K71)</f>
        <v>2582561114.0073576</v>
      </c>
      <c r="L66" s="23">
        <f t="shared" si="17"/>
        <v>5413368392.581708</v>
      </c>
      <c r="M66" s="23">
        <f>SUM(M67:M71)</f>
        <v>5085729459.4052649</v>
      </c>
      <c r="N66" s="23">
        <f>SUM(N67:N71)</f>
        <v>29619244699.591702</v>
      </c>
    </row>
    <row r="67" spans="1:16" ht="26.25" customHeight="1" thickBot="1" x14ac:dyDescent="0.3">
      <c r="A67" s="104" t="s">
        <v>54</v>
      </c>
      <c r="B67" s="54"/>
      <c r="C67" s="54"/>
      <c r="D67" s="45">
        <v>344000000</v>
      </c>
      <c r="E67" s="44"/>
      <c r="F67" s="44">
        <v>1400000000</v>
      </c>
      <c r="G67" s="44">
        <v>880000000</v>
      </c>
      <c r="H67" s="44">
        <v>900000000</v>
      </c>
      <c r="I67" s="44">
        <v>1499000000</v>
      </c>
      <c r="J67" s="47">
        <v>1050000000</v>
      </c>
      <c r="K67" s="48">
        <v>1690000000</v>
      </c>
      <c r="L67" s="51">
        <v>3700000000</v>
      </c>
      <c r="M67" s="44">
        <v>2858700000</v>
      </c>
      <c r="N67" s="29">
        <f t="shared" ref="N67:N73" si="18">B67+C67+D67+E67+F67+G67+H67+I67+J67+K67+L67+M67</f>
        <v>14321700000</v>
      </c>
    </row>
    <row r="68" spans="1:16" ht="21.75" customHeight="1" thickBot="1" x14ac:dyDescent="0.3">
      <c r="A68" s="104" t="s">
        <v>55</v>
      </c>
      <c r="B68" s="44">
        <f>1224430907.3-16944996.8-925469395.06-274563447.66+72585.63+5226906.22+213096.6+756596.7+25910438.32+71721.83+98151370.53+128729982.41+4903356.92+3608097.74+666094.22+7802888.87+32591443.4+818826.77+101948.77+95904765.72+6029914.64+21179426.73+509.9+11075.97+20128.02+232531.11+327047.45+51360.84+583580.55+514000.78+423500.42+24416943.81+34637366</f>
        <v>501410574.64999992</v>
      </c>
      <c r="C68" s="54">
        <f>12087.75+34299.02+3000419.58+209895.24+128589.38+112623.46+29603250.4+36764+98170379.69+4122749.81+33812664.5+2725033.5+7834.39+231.52+41521551.54+102119.11+25572.9+174788977.32+2174.21+16251313.29+18112.65+1883.98+546.25+41830.76+6029042.73</f>
        <v>410759946.98000002</v>
      </c>
      <c r="D68" s="45">
        <f>21311125.8700001+482546480+417815205</f>
        <v>921672810.87000012</v>
      </c>
      <c r="E68" s="44">
        <f>11011954.053+670732831+68789089</f>
        <v>750533874.05299997</v>
      </c>
      <c r="F68" s="44">
        <f>17214562.52+815671153</f>
        <v>832885715.51999998</v>
      </c>
      <c r="G68" s="44">
        <f>23216445.1188732+1273469167.58+128000137</f>
        <v>1424685749.698873</v>
      </c>
      <c r="H68" s="44">
        <f>18253757.3409404+787248364.89+413722592</f>
        <v>1219224714.2309403</v>
      </c>
      <c r="I68" s="50">
        <f>40095625.3573846+883275038+17534160</f>
        <v>940904823.35738456</v>
      </c>
      <c r="J68" s="47">
        <f>7488563.247174+2139641456.58+3284035</f>
        <v>2150414054.8271742</v>
      </c>
      <c r="K68" s="48">
        <f>7571674.847358+846831358</f>
        <v>854403032.84735799</v>
      </c>
      <c r="L68" s="48">
        <f>110843153.162274+1558514921</f>
        <v>1669358074.1622739</v>
      </c>
      <c r="M68" s="44">
        <f>17612973.270864+2096885534</f>
        <v>2114498507.270864</v>
      </c>
      <c r="N68" s="29">
        <f t="shared" si="18"/>
        <v>13790751878.467869</v>
      </c>
    </row>
    <row r="69" spans="1:16" ht="24.75" customHeight="1" thickBot="1" x14ac:dyDescent="0.3">
      <c r="A69" s="104" t="s">
        <v>56</v>
      </c>
      <c r="B69" s="44">
        <f>25804.86-435610.27+305000000</f>
        <v>304590194.58999997</v>
      </c>
      <c r="C69" s="54">
        <f>13728939.54-84267.43</f>
        <v>13644672.109999999</v>
      </c>
      <c r="D69" s="45">
        <f>25368161.14+30771474</f>
        <v>56139635.140000001</v>
      </c>
      <c r="E69" s="44">
        <v>74355.740000000005</v>
      </c>
      <c r="F69" s="44">
        <f>32992241.76-1305573.36</f>
        <v>31686668.400000002</v>
      </c>
      <c r="G69" s="44">
        <f>21821776.34-1783577.08</f>
        <v>20038199.259999998</v>
      </c>
      <c r="H69" s="44">
        <f>3405930.59-17200</f>
        <v>3388730.59</v>
      </c>
      <c r="I69" s="50">
        <f>8511404.1-398614.9</f>
        <v>8112789.1999999993</v>
      </c>
      <c r="J69" s="47">
        <f>67404002.68-891105.42</f>
        <v>66512897.260000005</v>
      </c>
      <c r="K69" s="48">
        <f>17361807.89-1135800.01+2370779.74+7985960</f>
        <v>26582747.620000001</v>
      </c>
      <c r="L69" s="48">
        <f>35717577.07232-1588200.05</f>
        <v>34129377.022320002</v>
      </c>
      <c r="M69" s="44">
        <f>94930786.4244-870000+2108850</f>
        <v>96169636.424400002</v>
      </c>
      <c r="N69" s="29">
        <f t="shared" si="18"/>
        <v>661069903.35671985</v>
      </c>
    </row>
    <row r="70" spans="1:16" ht="21.75" customHeight="1" thickBot="1" x14ac:dyDescent="0.3">
      <c r="A70" s="104" t="s">
        <v>57</v>
      </c>
      <c r="B70" s="44"/>
      <c r="C70" s="54"/>
      <c r="D70" s="45"/>
      <c r="E70" s="44">
        <v>27903953.890000001</v>
      </c>
      <c r="F70" s="44"/>
      <c r="G70" s="44"/>
      <c r="H70" s="44"/>
      <c r="I70" s="50"/>
      <c r="J70" s="47"/>
      <c r="K70" s="48"/>
      <c r="L70" s="51"/>
      <c r="M70" s="105"/>
      <c r="N70" s="29">
        <f t="shared" si="18"/>
        <v>27903953.890000001</v>
      </c>
    </row>
    <row r="71" spans="1:16" ht="21.75" customHeight="1" thickBot="1" x14ac:dyDescent="0.3">
      <c r="A71" s="104" t="s">
        <v>58</v>
      </c>
      <c r="B71" s="44">
        <f>7543272.16+1454530.81</f>
        <v>8997802.9700000007</v>
      </c>
      <c r="C71" s="54">
        <f>990345.24+7285633.09+9891036.62</f>
        <v>18167014.949999999</v>
      </c>
      <c r="D71" s="45">
        <f>6432671.49+16552443.37</f>
        <v>22985114.859999999</v>
      </c>
      <c r="E71" s="44">
        <f>6699363+2100164.67+11907878</f>
        <v>20707405.670000002</v>
      </c>
      <c r="F71" s="44">
        <f>8760057.96+17793796</f>
        <v>26553853.960000001</v>
      </c>
      <c r="G71" s="44">
        <f>9413640.64+42004746.45</f>
        <v>51418387.090000004</v>
      </c>
      <c r="H71" s="44">
        <f>9169702.22+17141635.37</f>
        <v>26311337.590000004</v>
      </c>
      <c r="I71" s="106">
        <v>17914283.079999998</v>
      </c>
      <c r="J71" s="47">
        <f>10588343.31+576357829.75</f>
        <v>586946173.05999994</v>
      </c>
      <c r="K71" s="48">
        <v>11575333.539999999</v>
      </c>
      <c r="L71" s="48">
        <v>9880941.3971149996</v>
      </c>
      <c r="M71" s="44">
        <v>16361315.710000001</v>
      </c>
      <c r="N71" s="29">
        <f t="shared" si="18"/>
        <v>817818963.87711501</v>
      </c>
    </row>
    <row r="72" spans="1:16" ht="21.75" customHeight="1" thickBot="1" x14ac:dyDescent="0.3">
      <c r="A72" s="104"/>
      <c r="B72" s="44"/>
      <c r="C72" s="44"/>
      <c r="D72" s="107"/>
      <c r="E72" s="108"/>
      <c r="F72" s="108"/>
      <c r="G72" s="108"/>
      <c r="H72" s="108"/>
      <c r="I72" s="108"/>
      <c r="J72" s="108"/>
      <c r="K72" s="108"/>
      <c r="L72" s="108"/>
      <c r="M72" s="108"/>
      <c r="N72" s="29">
        <f t="shared" si="18"/>
        <v>0</v>
      </c>
    </row>
    <row r="73" spans="1:16" ht="21.75" customHeight="1" thickBot="1" x14ac:dyDescent="0.3">
      <c r="A73" s="22" t="s">
        <v>59</v>
      </c>
      <c r="B73" s="23">
        <f>45893284.1+363082.3+1575897.93</f>
        <v>47832264.329999998</v>
      </c>
      <c r="C73" s="23">
        <f>56016.32+124192.75+51933032.68</f>
        <v>52113241.75</v>
      </c>
      <c r="D73" s="23">
        <f>53327292.38+141545251</f>
        <v>194872543.38</v>
      </c>
      <c r="E73" s="23">
        <v>46866723.669999994</v>
      </c>
      <c r="F73" s="23">
        <f>54920428.7+4517849</f>
        <v>59438277.700000003</v>
      </c>
      <c r="G73" s="23">
        <f>48365937.652+10035198.41</f>
        <v>58401136.062000006</v>
      </c>
      <c r="H73" s="23">
        <f>53534868.87+7633342.14</f>
        <v>61168211.009999998</v>
      </c>
      <c r="I73" s="23">
        <f>53120726.54+6037374.27</f>
        <v>59158100.810000002</v>
      </c>
      <c r="J73" s="23">
        <f>48377494.32+8833343.27</f>
        <v>57210837.590000004</v>
      </c>
      <c r="K73" s="23">
        <v>52391560.409999996</v>
      </c>
      <c r="L73" s="23"/>
      <c r="M73" s="44">
        <f>56526303.4</f>
        <v>56526303.399999999</v>
      </c>
      <c r="N73" s="23">
        <f t="shared" si="18"/>
        <v>745979200.11199987</v>
      </c>
    </row>
    <row r="74" spans="1:16" x14ac:dyDescent="0.25">
      <c r="M74" s="105"/>
    </row>
    <row r="75" spans="1:16" x14ac:dyDescent="0.25">
      <c r="B75" s="112"/>
      <c r="M75" s="105"/>
    </row>
    <row r="76" spans="1:16" s="21" customFormat="1" ht="21.75" customHeight="1" thickBot="1" x14ac:dyDescent="0.3">
      <c r="A76" s="84"/>
      <c r="B76" s="85"/>
      <c r="C76" s="85"/>
      <c r="D76" s="86"/>
      <c r="E76" s="86"/>
      <c r="F76" s="86"/>
      <c r="G76" s="85"/>
      <c r="H76" s="85"/>
      <c r="I76" s="85"/>
      <c r="J76" s="85"/>
      <c r="K76" s="113"/>
      <c r="L76" s="113"/>
      <c r="M76" s="85"/>
      <c r="N76" s="85"/>
      <c r="O76" s="33">
        <f>O77+N109</f>
        <v>358799355117.11938</v>
      </c>
    </row>
    <row r="77" spans="1:16" s="21" customFormat="1" ht="21.75" customHeight="1" thickBot="1" x14ac:dyDescent="0.3">
      <c r="A77" s="31" t="s">
        <v>60</v>
      </c>
      <c r="B77" s="32">
        <f t="shared" ref="B77:M77" si="19">B79+B111</f>
        <v>19435456303.380001</v>
      </c>
      <c r="C77" s="32">
        <f t="shared" ref="C77" si="20">C79+C111</f>
        <v>23831337100.429359</v>
      </c>
      <c r="D77" s="32">
        <f t="shared" si="19"/>
        <v>38118711351.100006</v>
      </c>
      <c r="E77" s="32">
        <f t="shared" si="19"/>
        <v>25921879149.18</v>
      </c>
      <c r="F77" s="32">
        <f t="shared" si="19"/>
        <v>41879847177.040001</v>
      </c>
      <c r="G77" s="32">
        <f t="shared" si="19"/>
        <v>53738842632.065002</v>
      </c>
      <c r="H77" s="32">
        <f t="shared" si="19"/>
        <v>47797348604.900002</v>
      </c>
      <c r="I77" s="32">
        <f t="shared" si="19"/>
        <v>53291794703.379997</v>
      </c>
      <c r="J77" s="32">
        <f t="shared" si="19"/>
        <v>56966247206.739998</v>
      </c>
      <c r="K77" s="32">
        <f t="shared" si="19"/>
        <v>52367923921.349998</v>
      </c>
      <c r="L77" s="32">
        <f t="shared" si="19"/>
        <v>81112441315.141541</v>
      </c>
      <c r="M77" s="32">
        <f t="shared" si="19"/>
        <v>57551389437.910004</v>
      </c>
      <c r="N77" s="32">
        <f>N79+N111</f>
        <v>552013218902.61597</v>
      </c>
      <c r="O77" s="33">
        <f>N80+N82+N95+N99+N101+N105+N110</f>
        <v>352001685243.54938</v>
      </c>
      <c r="P77" s="33" t="e">
        <f>#REF!+#REF!+#REF!+#REF!+#REF!+#REF!+#REF!</f>
        <v>#REF!</v>
      </c>
    </row>
    <row r="78" spans="1:16" ht="21.75" customHeight="1" thickBot="1" x14ac:dyDescent="0.3">
      <c r="A78" s="114"/>
      <c r="B78" s="94"/>
      <c r="C78" s="94"/>
      <c r="D78" s="92"/>
      <c r="E78" s="105"/>
      <c r="F78" s="32"/>
      <c r="G78" s="94"/>
      <c r="H78" s="94"/>
      <c r="I78" s="94"/>
      <c r="J78" s="115"/>
      <c r="K78" s="96"/>
      <c r="L78" s="96"/>
      <c r="M78" s="94"/>
      <c r="N78" s="85"/>
    </row>
    <row r="79" spans="1:16" ht="21.75" customHeight="1" thickBot="1" x14ac:dyDescent="0.3">
      <c r="A79" s="11" t="s">
        <v>61</v>
      </c>
      <c r="B79" s="12">
        <f t="shared" ref="B79:M79" si="21">B80+B95+B99+B82+B101+B105+B108</f>
        <v>13942905347.93</v>
      </c>
      <c r="C79" s="12">
        <f t="shared" ref="C79" si="22">C80+C95+C99+C82+C101+C105+C108</f>
        <v>15527297109.229359</v>
      </c>
      <c r="D79" s="12">
        <f t="shared" si="21"/>
        <v>27571627824.100002</v>
      </c>
      <c r="E79" s="12">
        <f t="shared" si="21"/>
        <v>21298274102.010002</v>
      </c>
      <c r="F79" s="12">
        <f t="shared" si="21"/>
        <v>26047629135.040001</v>
      </c>
      <c r="G79" s="12">
        <f t="shared" si="21"/>
        <v>31330644490.260002</v>
      </c>
      <c r="H79" s="12">
        <f t="shared" si="21"/>
        <v>30798407574.900002</v>
      </c>
      <c r="I79" s="12">
        <f t="shared" si="21"/>
        <v>31474511919.379997</v>
      </c>
      <c r="J79" s="12">
        <f t="shared" si="21"/>
        <v>36254586560.199997</v>
      </c>
      <c r="K79" s="12">
        <f t="shared" si="21"/>
        <v>38504225133.18</v>
      </c>
      <c r="L79" s="12">
        <f t="shared" si="21"/>
        <v>51018513922.979996</v>
      </c>
      <c r="M79" s="12">
        <f t="shared" si="21"/>
        <v>35030731997.910004</v>
      </c>
      <c r="N79" s="12">
        <f>B79+C79+D79+E79+F79+G79+H79+I79+J79+K79+L79+M79</f>
        <v>358799355117.11938</v>
      </c>
    </row>
    <row r="80" spans="1:16" ht="21.75" customHeight="1" thickBot="1" x14ac:dyDescent="0.3">
      <c r="A80" s="98" t="s">
        <v>62</v>
      </c>
      <c r="B80" s="23">
        <f>SUM(B81)</f>
        <v>6675297229</v>
      </c>
      <c r="C80" s="23">
        <f t="shared" ref="C80:N80" si="23">SUM(C81)</f>
        <v>8515636390</v>
      </c>
      <c r="D80" s="23">
        <f t="shared" si="23"/>
        <v>10186823532</v>
      </c>
      <c r="E80" s="23">
        <f t="shared" si="23"/>
        <v>9608604962</v>
      </c>
      <c r="F80" s="23">
        <f t="shared" si="23"/>
        <v>9786016506</v>
      </c>
      <c r="G80" s="23">
        <f t="shared" si="23"/>
        <v>9584787317</v>
      </c>
      <c r="H80" s="23">
        <f>SUM(H81)</f>
        <v>12087636607</v>
      </c>
      <c r="I80" s="23">
        <f t="shared" si="23"/>
        <v>11902534749</v>
      </c>
      <c r="J80" s="23">
        <f t="shared" si="23"/>
        <v>12256120735</v>
      </c>
      <c r="K80" s="23">
        <f t="shared" si="23"/>
        <v>12084626703</v>
      </c>
      <c r="L80" s="23">
        <f t="shared" si="23"/>
        <v>20937757995</v>
      </c>
      <c r="M80" s="23">
        <f t="shared" si="23"/>
        <v>13934927618</v>
      </c>
      <c r="N80" s="23">
        <f t="shared" si="23"/>
        <v>137560770343</v>
      </c>
      <c r="O80" s="116">
        <f>+N80+N102+29300000000</f>
        <v>201607888468.42999</v>
      </c>
      <c r="P80" s="116" t="e">
        <f>+#REF!+#REF!</f>
        <v>#REF!</v>
      </c>
    </row>
    <row r="81" spans="1:84" ht="21.75" customHeight="1" thickBot="1" x14ac:dyDescent="0.3">
      <c r="A81" s="98"/>
      <c r="B81" s="117">
        <f>6675297229</f>
        <v>6675297229</v>
      </c>
      <c r="C81" s="117">
        <f>8515636390</f>
        <v>8515636390</v>
      </c>
      <c r="D81" s="118">
        <v>10186823532</v>
      </c>
      <c r="E81" s="119">
        <v>9608604962</v>
      </c>
      <c r="F81" s="119">
        <v>9786016506</v>
      </c>
      <c r="G81" s="119">
        <v>9584787317</v>
      </c>
      <c r="H81" s="119">
        <v>12087636607</v>
      </c>
      <c r="I81" s="119">
        <v>11902534749</v>
      </c>
      <c r="J81" s="119">
        <v>12256120735</v>
      </c>
      <c r="K81" s="120">
        <v>12084626703</v>
      </c>
      <c r="L81" s="120">
        <v>20937757995</v>
      </c>
      <c r="M81" s="119">
        <v>13934927618</v>
      </c>
      <c r="N81" s="121">
        <f>B81+C81+D81+E81+F81+G81+H81+I81+J81+K81+L81+M81</f>
        <v>137560770343</v>
      </c>
    </row>
    <row r="82" spans="1:84" s="23" customFormat="1" ht="21.75" customHeight="1" thickBot="1" x14ac:dyDescent="0.3">
      <c r="A82" s="23" t="s">
        <v>63</v>
      </c>
      <c r="B82" s="23">
        <f>SUM(B83:B93)</f>
        <v>269697753</v>
      </c>
      <c r="C82" s="23">
        <f t="shared" ref="C82:M82" si="24">SUM(C83:C93)</f>
        <v>1387114682.79</v>
      </c>
      <c r="D82" s="23">
        <f t="shared" si="24"/>
        <v>5846411937.54</v>
      </c>
      <c r="E82" s="23">
        <f t="shared" si="24"/>
        <v>3178749047</v>
      </c>
      <c r="F82" s="23">
        <f t="shared" si="24"/>
        <v>5702956251.6700001</v>
      </c>
      <c r="G82" s="23">
        <f t="shared" si="24"/>
        <v>12614759255.209999</v>
      </c>
      <c r="H82" s="23">
        <f t="shared" si="24"/>
        <v>10440978389.139999</v>
      </c>
      <c r="I82" s="23">
        <f t="shared" si="24"/>
        <v>6307997645.1499996</v>
      </c>
      <c r="J82" s="23">
        <f t="shared" si="24"/>
        <v>10456340068.25</v>
      </c>
      <c r="K82" s="23">
        <f t="shared" si="24"/>
        <v>10979077868.610001</v>
      </c>
      <c r="L82" s="23">
        <f t="shared" si="24"/>
        <v>18389947933.349998</v>
      </c>
      <c r="M82" s="122">
        <f t="shared" si="24"/>
        <v>2550735931.2200007</v>
      </c>
      <c r="N82" s="23">
        <f>SUM(N83:N93)</f>
        <v>88124766762.930008</v>
      </c>
      <c r="O82" s="123">
        <f>+O80/O77</f>
        <v>0.57274694105210844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</row>
    <row r="83" spans="1:84" ht="21.75" customHeight="1" x14ac:dyDescent="0.25">
      <c r="A83" s="43" t="s">
        <v>64</v>
      </c>
      <c r="B83" s="117">
        <f>+'[2]budget recurrent exp jan'!J267</f>
        <v>46006680</v>
      </c>
      <c r="C83" s="117">
        <f>+'[2]EXP OUTTURN (FEB)'!J267</f>
        <v>97273487</v>
      </c>
      <c r="D83" s="125">
        <f>'[2]EXP OUTTURN (MAR)'!J267</f>
        <v>295901306.08000004</v>
      </c>
      <c r="E83" s="91">
        <f>'[2]EXP OUTTURN (APR)'!J253</f>
        <v>234065932</v>
      </c>
      <c r="F83" s="91">
        <f>'[2] EXP RECURRENT MAY 2021'!J253</f>
        <v>407633946</v>
      </c>
      <c r="G83" s="91">
        <f>'[2]EXP OUTTURN (JUNE)2021'!J253</f>
        <v>370566609.47000003</v>
      </c>
      <c r="H83" s="91">
        <f>'[2]EXP OUTTURN (JULY)'!J267</f>
        <v>465651100</v>
      </c>
      <c r="I83" s="91">
        <f>'[2]EXP OUTTURN (AUG) 2021'!J267</f>
        <v>309969059</v>
      </c>
      <c r="J83" s="91">
        <f>'[2]EXP OUTTURN (SEP)'!J253</f>
        <v>181380297</v>
      </c>
      <c r="K83" s="126">
        <f>'[2]recurrent octber 2021'!J271</f>
        <v>603366874</v>
      </c>
      <c r="L83" s="126">
        <f>'[2]EXP OUTTURN (NOV) 2021 '!J267</f>
        <v>3478722606</v>
      </c>
      <c r="M83" s="127">
        <f>1067779970.42-2326057657.39-11336980-1639846</f>
        <v>-1271254512.9699998</v>
      </c>
      <c r="N83" s="128">
        <f t="shared" ref="N83:N93" si="25">B83+C83+D83+E83+F83+G83+H83+I83+J83+K83+L83+M83</f>
        <v>5219283383.5799999</v>
      </c>
    </row>
    <row r="84" spans="1:84" ht="21.75" customHeight="1" x14ac:dyDescent="0.25">
      <c r="A84" s="43" t="s">
        <v>65</v>
      </c>
      <c r="B84" s="119">
        <f>+'[2]budget recurrent exp jan'!K267</f>
        <v>3429545</v>
      </c>
      <c r="C84" s="119">
        <f>+'[2]EXP OUTTURN (FEB)'!K267</f>
        <v>48572687.480000004</v>
      </c>
      <c r="D84" s="118">
        <f>'[2]EXP OUTTURN (MAR)'!K267</f>
        <v>99190987.840000004</v>
      </c>
      <c r="E84" s="119">
        <f>'[2]EXP OUTTURN (APR)'!K253</f>
        <v>86088115</v>
      </c>
      <c r="F84" s="119">
        <f>'[2] EXP RECURRENT MAY 2021'!K253+17479924.59</f>
        <v>308933350.58999997</v>
      </c>
      <c r="G84" s="119">
        <f>'[2]EXP OUTTURN (JUNE)2021'!K253+423826500+30615647.69+5114730+1707328000+896945700</f>
        <v>3224111055.2200003</v>
      </c>
      <c r="H84" s="119">
        <f>'[2]EXP OUTTURN (JULY)'!K267</f>
        <v>84984451</v>
      </c>
      <c r="I84" s="119">
        <f>'[2]EXP OUTTURN (AUG) 2021'!K267+6614946.8+2757031.78</f>
        <v>172553950.58000001</v>
      </c>
      <c r="J84" s="119">
        <f>'[2]EXP OUTTURN (SEP)'!K253</f>
        <v>248714227</v>
      </c>
      <c r="K84" s="120">
        <f>'[2]recurrent octber 2021'!K271</f>
        <v>545554863</v>
      </c>
      <c r="L84" s="120">
        <f>'[2]EXP OUTTURN (NOV) 2021 '!K267</f>
        <v>728362593.36000001</v>
      </c>
      <c r="M84" s="127">
        <f>628744667.52-3280008274.48</f>
        <v>-2651263606.96</v>
      </c>
      <c r="N84" s="128">
        <f t="shared" si="25"/>
        <v>2899232219.1099997</v>
      </c>
      <c r="O84" s="123">
        <f>O80/O76</f>
        <v>0.56189590531070244</v>
      </c>
    </row>
    <row r="85" spans="1:84" ht="21.75" customHeight="1" x14ac:dyDescent="0.25">
      <c r="A85" s="43" t="s">
        <v>66</v>
      </c>
      <c r="B85" s="117">
        <f>+'[2]budget recurrent exp jan'!D267</f>
        <v>15977534</v>
      </c>
      <c r="C85" s="94">
        <f>+'[2]EXP OUTTURN (FEB)'!D267</f>
        <v>110391989</v>
      </c>
      <c r="D85" s="118">
        <f>'[2]EXP OUTTURN (MAR)'!D267</f>
        <v>322063721.90999997</v>
      </c>
      <c r="E85" s="119">
        <f>'[2]EXP OUTTURN (APR)'!D253</f>
        <v>160782486</v>
      </c>
      <c r="F85" s="119">
        <f>'[2] EXP RECURRENT MAY 2021'!D253</f>
        <v>336494562</v>
      </c>
      <c r="G85" s="119">
        <f>'[2]EXP OUTTURN (JUNE)2021'!D253</f>
        <v>613631669.38000011</v>
      </c>
      <c r="H85" s="119">
        <f>'[2]EXP OUTTURN (JULY)'!D267</f>
        <v>390578622</v>
      </c>
      <c r="I85" s="119">
        <f>'[2]EXP OUTTURN (AUG) 2021'!D267</f>
        <v>388221255</v>
      </c>
      <c r="J85" s="119">
        <f>'[2]EXP OUTTURN (SEP)'!D253</f>
        <v>858636671</v>
      </c>
      <c r="K85" s="120">
        <f>'[2]recurrent octber 2021'!D271</f>
        <v>433452394.46999997</v>
      </c>
      <c r="L85" s="120">
        <f>'[2]EXP OUTTURN (NOV) 2021 '!D267</f>
        <v>747564097</v>
      </c>
      <c r="M85" s="127">
        <f>723532363+239065200+5433300-156682118.46</f>
        <v>811348744.53999996</v>
      </c>
      <c r="N85" s="128">
        <f t="shared" si="25"/>
        <v>5189143746.3000002</v>
      </c>
    </row>
    <row r="86" spans="1:84" ht="21.75" customHeight="1" x14ac:dyDescent="0.25">
      <c r="A86" s="43" t="s">
        <v>67</v>
      </c>
      <c r="B86" s="119">
        <f>+'[2]budget recurrent exp jan'!E267</f>
        <v>0</v>
      </c>
      <c r="C86" s="94">
        <f>+'[2]EXP OUTTURN (FEB)'!E267</f>
        <v>1390646</v>
      </c>
      <c r="D86" s="118">
        <f>'[2]EXP OUTTURN (MAR)'!E267</f>
        <v>43111096</v>
      </c>
      <c r="E86" s="119">
        <f>'[2]EXP OUTTURN (APR)'!E253</f>
        <v>3025749</v>
      </c>
      <c r="F86" s="119">
        <f>'[2] EXP RECURRENT MAY 2021'!E253</f>
        <v>12529265</v>
      </c>
      <c r="G86" s="119">
        <f>'[2]EXP OUTTURN (JUNE)2021'!E253</f>
        <v>78179900.799999997</v>
      </c>
      <c r="H86" s="119">
        <f>'[2]EXP OUTTURN (JULY)'!E267</f>
        <v>7652208</v>
      </c>
      <c r="I86" s="119">
        <f>'[2]EXP OUTTURN (AUG) 2021'!E267</f>
        <v>1780772</v>
      </c>
      <c r="J86" s="119">
        <f>'[2]EXP OUTTURN (SEP)'!E253</f>
        <v>45652120</v>
      </c>
      <c r="K86" s="120">
        <f>'[2]recurrent octber 2021'!E271</f>
        <v>16774928</v>
      </c>
      <c r="L86" s="120">
        <f>'[2]EXP OUTTURN (NOV) 2021 '!E267</f>
        <v>99277454</v>
      </c>
      <c r="M86" s="127">
        <f>80352824.67-91716451.34</f>
        <v>-11363626.670000002</v>
      </c>
      <c r="N86" s="128">
        <f t="shared" si="25"/>
        <v>298010512.13</v>
      </c>
    </row>
    <row r="87" spans="1:84" ht="21.75" customHeight="1" x14ac:dyDescent="0.25">
      <c r="A87" s="43" t="s">
        <v>68</v>
      </c>
      <c r="B87" s="117">
        <f>+'[2]budget recurrent exp jan'!F267</f>
        <v>7088382</v>
      </c>
      <c r="C87" s="117">
        <f>+'[2]EXP OUTTURN (FEB)'!F267</f>
        <v>144042954</v>
      </c>
      <c r="D87" s="118">
        <f>'[2]EXP OUTTURN (MAR)'!F267+335930800+8062339.2+5878789+31621068.82+672957600</f>
        <v>2189430041.5</v>
      </c>
      <c r="E87" s="119">
        <f>'[2]EXP OUTTURN (APR)'!F253</f>
        <v>133793430</v>
      </c>
      <c r="F87" s="119">
        <f>'[2] EXP RECURRENT MAY 2021'!F253+11796261.97+633909111.11</f>
        <v>1126020503.0799999</v>
      </c>
      <c r="G87" s="119">
        <f>'[2]EXP OUTTURN (JUNE)2021'!F253</f>
        <v>4928606627</v>
      </c>
      <c r="H87" s="119">
        <f>'[2]EXP OUTTURN (JULY)'!F267+10250808+50379716.12+8550970+1795707900+10261188+1795707900+15479090.17+66185213.85</f>
        <v>4767140074.1400003</v>
      </c>
      <c r="I87" s="119">
        <f>'[2]EXP OUTTURN (AUG) 2021'!F267+20574864+28702750.89+60071733.68</f>
        <v>624933462.56999993</v>
      </c>
      <c r="J87" s="119">
        <f>'[2]EXP OUTTURN (SEP)'!F253</f>
        <v>1911617479.25</v>
      </c>
      <c r="K87" s="120">
        <f>'[2]recurrent octber 2021'!F271+36705307.7+802823625+83634346.26</f>
        <v>1675212590.5600002</v>
      </c>
      <c r="L87" s="120">
        <f>'[2]EXP OUTTURN (NOV) 2021 '!F267</f>
        <v>2136767448.9300001</v>
      </c>
      <c r="M87" s="127">
        <f>796755317.21+37097049.6+91047949.91+81591008.73-2868237149.41</f>
        <v>-1861745823.9599998</v>
      </c>
      <c r="N87" s="128">
        <f t="shared" si="25"/>
        <v>17782907169.070004</v>
      </c>
    </row>
    <row r="88" spans="1:84" ht="21.75" customHeight="1" x14ac:dyDescent="0.25">
      <c r="A88" s="43" t="s">
        <v>69</v>
      </c>
      <c r="B88" s="117">
        <f>+'[2]budget recurrent exp jan'!G267</f>
        <v>3601627</v>
      </c>
      <c r="C88" s="94">
        <f>+'[2]EXP OUTTURN (FEB)'!G267</f>
        <v>35711538</v>
      </c>
      <c r="D88" s="125">
        <f>'[2]EXP OUTTURN (MAR)'!G267</f>
        <v>150715243.59</v>
      </c>
      <c r="E88" s="91">
        <f>'[2]EXP OUTTURN (APR)'!G253</f>
        <v>87971870</v>
      </c>
      <c r="F88" s="91">
        <f>'[2] EXP RECURRENT MAY 2021'!G253</f>
        <v>164572985</v>
      </c>
      <c r="G88" s="91">
        <f>'[2]EXP OUTTURN (JUNE)2021'!G253</f>
        <v>137585582.18000001</v>
      </c>
      <c r="H88" s="91">
        <f>'[2]EXP OUTTURN (JULY)'!G267</f>
        <v>340275745</v>
      </c>
      <c r="I88" s="91">
        <f>'[2]EXP OUTTURN (AUG) 2021'!G267</f>
        <v>114142765</v>
      </c>
      <c r="J88" s="91">
        <f>'[2]EXP OUTTURN (SEP)'!G253</f>
        <v>505577519</v>
      </c>
      <c r="K88" s="126">
        <f>'[2]recurrent octber 2021'!G271</f>
        <v>200251783.59</v>
      </c>
      <c r="L88" s="126">
        <f>'[2]EXP OUTTURN (NOV) 2021 '!G267</f>
        <v>1161683119</v>
      </c>
      <c r="M88" s="127">
        <f>516600445.24-272909144.73</f>
        <v>243691300.50999999</v>
      </c>
      <c r="N88" s="128">
        <f t="shared" si="25"/>
        <v>3145781077.8699999</v>
      </c>
    </row>
    <row r="89" spans="1:84" ht="21.75" customHeight="1" x14ac:dyDescent="0.25">
      <c r="A89" s="43" t="s">
        <v>70</v>
      </c>
      <c r="B89" s="117">
        <f>+'[2]budget recurrent exp jan'!I267</f>
        <v>3525685</v>
      </c>
      <c r="C89" s="94">
        <f>+'[2]EXP OUTTURN (FEB)'!I267</f>
        <v>55181714.310000002</v>
      </c>
      <c r="D89" s="118">
        <f>'[2]EXP OUTTURN (MAR)'!I267</f>
        <v>82759743</v>
      </c>
      <c r="E89" s="119">
        <f>'[2]EXP OUTTURN (APR)'!I253</f>
        <v>52373410</v>
      </c>
      <c r="F89" s="119">
        <f>'[2] EXP RECURRENT MAY 2021'!I253</f>
        <v>111405397</v>
      </c>
      <c r="G89" s="91">
        <f>'[2]EXP OUTTURN (JUNE)2021'!I253</f>
        <v>149111551</v>
      </c>
      <c r="H89" s="119">
        <f>'[2]EXP OUTTURN (JULY)'!I267</f>
        <v>290460593</v>
      </c>
      <c r="I89" s="119">
        <f>'[2]EXP OUTTURN (AUG) 2021'!I267</f>
        <v>852351474</v>
      </c>
      <c r="J89" s="119">
        <f>'[2]EXP OUTTURN (SEP)'!I253</f>
        <v>872268114</v>
      </c>
      <c r="K89" s="120">
        <f>'[2]recurrent octber 2021'!I271</f>
        <v>152720434</v>
      </c>
      <c r="L89" s="120">
        <f>'[2]EXP OUTTURN (NOV) 2021 '!I267</f>
        <v>1051330032.9100001</v>
      </c>
      <c r="M89" s="127">
        <f>143182451.43-1561465053.48</f>
        <v>-1418282602.05</v>
      </c>
      <c r="N89" s="128">
        <f t="shared" si="25"/>
        <v>2255205546.1700001</v>
      </c>
    </row>
    <row r="90" spans="1:84" ht="21.75" customHeight="1" x14ac:dyDescent="0.25">
      <c r="A90" s="43" t="s">
        <v>71</v>
      </c>
      <c r="B90" s="119">
        <f>+'[2]budget recurrent exp jan'!H267</f>
        <v>61300870</v>
      </c>
      <c r="C90" s="91">
        <f>+'[2]EXP OUTTURN (FEB)'!H267</f>
        <v>185451589</v>
      </c>
      <c r="D90" s="118">
        <f>'[2]EXP OUTTURN (MAR)'!H267</f>
        <v>521647196.63999999</v>
      </c>
      <c r="E90" s="119">
        <f>'[2]EXP OUTTURN (APR)'!H253</f>
        <v>442709064</v>
      </c>
      <c r="F90" s="119">
        <f>'[2] EXP RECURRENT MAY 2021'!H253</f>
        <v>874295048</v>
      </c>
      <c r="G90" s="119">
        <f>'[2]EXP OUTTURN (JUNE)2021'!H253</f>
        <v>784140260.63</v>
      </c>
      <c r="H90" s="119">
        <f>'[2]EXP OUTTURN (JULY)'!H267</f>
        <v>2090895043</v>
      </c>
      <c r="I90" s="119">
        <f>'[2]EXP OUTTURN (AUG) 2021'!H267</f>
        <v>1765371131</v>
      </c>
      <c r="J90" s="119">
        <f>'[2]EXP OUTTURN (SEP)'!H253</f>
        <v>2179559674</v>
      </c>
      <c r="K90" s="120">
        <f>'[2]recurrent octber 2021'!H271</f>
        <v>1450915935.49</v>
      </c>
      <c r="L90" s="120">
        <f>'[2]EXP OUTTURN (NOV) 2021 '!H267</f>
        <v>2937194921</v>
      </c>
      <c r="M90" s="127">
        <f>1701706119.84+6087667026.53-5124375470-27189797-753666-3196046</f>
        <v>2633858167.3699999</v>
      </c>
      <c r="N90" s="128">
        <f t="shared" si="25"/>
        <v>15927338900.130001</v>
      </c>
    </row>
    <row r="91" spans="1:84" ht="21.75" customHeight="1" x14ac:dyDescent="0.25">
      <c r="A91" s="43" t="s">
        <v>72</v>
      </c>
      <c r="B91" s="117">
        <f>+'[2]budget recurrent exp jan'!L267</f>
        <v>57444398</v>
      </c>
      <c r="C91" s="129">
        <f>+'[2]EXP OUTTURN (FEB)'!L267</f>
        <v>254189531</v>
      </c>
      <c r="D91" s="130">
        <f>'[2]EXP OUTTURN (MAR)'!L267</f>
        <v>592854614.66000009</v>
      </c>
      <c r="E91" s="131">
        <f>'[2]EXP OUTTURN (APR)'!L253</f>
        <v>289734562</v>
      </c>
      <c r="F91" s="132">
        <f>'[2] EXP RECURRENT MAY 2021'!L253</f>
        <v>568197387</v>
      </c>
      <c r="G91" s="131">
        <f>'[2]EXP OUTTURN (JUNE)2021'!L253</f>
        <v>918877422.79999995</v>
      </c>
      <c r="H91" s="131">
        <f>'[2]EXP OUTTURN (JULY)'!L267</f>
        <v>709608909</v>
      </c>
      <c r="I91" s="131">
        <f>'[2]EXP OUTTURN (AUG) 2021'!L267</f>
        <v>451436953</v>
      </c>
      <c r="J91" s="131">
        <f>'[2]EXP OUTTURN (SEP)'!L253</f>
        <v>618862734</v>
      </c>
      <c r="K91" s="133">
        <f>'[2]recurrent octber 2021'!L271</f>
        <v>741018983</v>
      </c>
      <c r="L91" s="133">
        <f>'[2]EXP OUTTURN (NOV) 2021 '!L267</f>
        <v>1430512644</v>
      </c>
      <c r="M91" s="127">
        <v>1714718202.95</v>
      </c>
      <c r="N91" s="128">
        <f t="shared" si="25"/>
        <v>8347456341.4099998</v>
      </c>
    </row>
    <row r="92" spans="1:84" ht="21.75" customHeight="1" x14ac:dyDescent="0.25">
      <c r="A92" s="43" t="s">
        <v>73</v>
      </c>
      <c r="B92" s="117">
        <f>+'[2]budget recurrent exp jan'!R253</f>
        <v>9198753</v>
      </c>
      <c r="C92" s="91">
        <f>+'[2]EXP OUTTURN (FEB)'!R253</f>
        <v>54403430</v>
      </c>
      <c r="D92" s="130">
        <f>'[2]EXP OUTTURN (MAR)'!R267</f>
        <v>442543194.19999999</v>
      </c>
      <c r="E92" s="131">
        <f>'[2]EXP OUTTURN (APR)'!R267</f>
        <v>1015282280</v>
      </c>
      <c r="F92" s="131">
        <f>'[2] EXP RECURRENT MAY 2021'!R253</f>
        <v>557634665</v>
      </c>
      <c r="G92" s="131">
        <f>'[2]EXP OUTTURN (JUNE)2021'!R267</f>
        <v>353500396.25</v>
      </c>
      <c r="H92" s="131">
        <f>'[2]EXP OUTTURN (JULY)'!R267</f>
        <v>100291315</v>
      </c>
      <c r="I92" s="131">
        <f>'[2]EXP OUTTURN (AUG) 2021'!R267</f>
        <v>618963781</v>
      </c>
      <c r="J92" s="131">
        <f>'[2]EXP OUTTURN (SEP)'!R253</f>
        <v>1337395829</v>
      </c>
      <c r="K92" s="133">
        <f>'[2]recurrent octber 2021'!R271+5992789.93+1086453328.45-220207146.62-11791261.97</f>
        <v>2475437466.7900004</v>
      </c>
      <c r="L92" s="133">
        <f>'[2]EXP OUTTURN (NOV) 2021 '!R267</f>
        <v>1516221385.1500001</v>
      </c>
      <c r="M92" s="127">
        <f>237636849.99+597619105.02+275327820.81+226684767.02+1260610674.93+32839449.75-157068975</f>
        <v>2473649692.52</v>
      </c>
      <c r="N92" s="128">
        <f t="shared" si="25"/>
        <v>10954522187.91</v>
      </c>
    </row>
    <row r="93" spans="1:84" ht="21.75" customHeight="1" x14ac:dyDescent="0.25">
      <c r="A93" s="43" t="s">
        <v>74</v>
      </c>
      <c r="B93" s="119">
        <f>+'[2]budget recurrent exp jan'!M267</f>
        <v>62124279</v>
      </c>
      <c r="C93" s="91">
        <f>+'[2]EXP OUTTURN (FEB)'!M267</f>
        <v>400505117</v>
      </c>
      <c r="D93" s="130">
        <f>'[2]EXP OUTTURN (MAR)'!M267</f>
        <v>1106194792.1199999</v>
      </c>
      <c r="E93" s="131">
        <f>'[2]EXP OUTTURN (APR)'!M253</f>
        <v>672922149</v>
      </c>
      <c r="F93" s="131">
        <f>'[2] EXP RECURRENT MAY 2021'!M253</f>
        <v>1235239143</v>
      </c>
      <c r="G93" s="131">
        <f>'[2]EXP OUTTURN (JUNE)2021'!M253</f>
        <v>1056448180.48</v>
      </c>
      <c r="H93" s="131">
        <f>'[2]EXP OUTTURN (JULY)'!M267</f>
        <v>1193440329</v>
      </c>
      <c r="I93" s="131">
        <f>'[2]EXP OUTTURN (AUG) 2021'!M267</f>
        <v>1008273042</v>
      </c>
      <c r="J93" s="131">
        <f>'[2]EXP OUTTURN (SEP)'!M253</f>
        <v>1696675404</v>
      </c>
      <c r="K93" s="133">
        <f>'[2]recurrent octber 2021'!M271+33366.23</f>
        <v>2684371615.71</v>
      </c>
      <c r="L93" s="133">
        <f>'[2]EXP OUTTURN (NOV) 2021 '!M267</f>
        <v>3102311632</v>
      </c>
      <c r="M93" s="131">
        <f>346306685.2+2654380.8+63822122.21+98985722.92+358668454.26+595899518.96+1691202965.16+104869390.83+87705650.33+400000+122560937.51+220207146.62-1781278576.86-22115452-2508950</f>
        <v>1887379995.9400003</v>
      </c>
      <c r="N93" s="128">
        <f t="shared" si="25"/>
        <v>16105885679.250002</v>
      </c>
    </row>
    <row r="94" spans="1:84" s="134" customFormat="1" ht="21.75" customHeight="1" thickBot="1" x14ac:dyDescent="0.3">
      <c r="A94" s="43"/>
      <c r="B94" s="91"/>
      <c r="C94" s="91"/>
      <c r="D94" s="125"/>
      <c r="E94" s="91"/>
      <c r="F94" s="91"/>
      <c r="G94" s="91"/>
      <c r="H94" s="91"/>
      <c r="I94" s="91"/>
      <c r="J94" s="91"/>
      <c r="K94" s="126"/>
      <c r="L94" s="126"/>
      <c r="M94" s="91"/>
      <c r="N94" s="128"/>
    </row>
    <row r="95" spans="1:84" ht="21.75" customHeight="1" thickBot="1" x14ac:dyDescent="0.3">
      <c r="A95" s="22" t="s">
        <v>75</v>
      </c>
      <c r="B95" s="23">
        <f>+B97+B96</f>
        <v>124411631.18000001</v>
      </c>
      <c r="C95" s="23">
        <f t="shared" ref="C95:N95" si="26">C97+C96</f>
        <v>64705141.43936</v>
      </c>
      <c r="D95" s="23">
        <f t="shared" si="26"/>
        <v>55112310.700000003</v>
      </c>
      <c r="E95" s="23">
        <f>E96+E97</f>
        <v>455402181.50999999</v>
      </c>
      <c r="F95" s="23">
        <f t="shared" si="26"/>
        <v>75839936.950000003</v>
      </c>
      <c r="G95" s="23">
        <f t="shared" si="26"/>
        <v>35087799.329999998</v>
      </c>
      <c r="H95" s="23">
        <f t="shared" si="26"/>
        <v>35336561.270000003</v>
      </c>
      <c r="I95" s="23">
        <f t="shared" si="26"/>
        <v>66334950.840000004</v>
      </c>
      <c r="J95" s="23">
        <f t="shared" si="26"/>
        <v>13815845.949999999</v>
      </c>
      <c r="K95" s="23">
        <f t="shared" si="26"/>
        <v>65343778.969999999</v>
      </c>
      <c r="L95" s="23">
        <f t="shared" si="26"/>
        <v>245699380.27000001</v>
      </c>
      <c r="M95" s="23">
        <f t="shared" si="26"/>
        <v>249861102.06999999</v>
      </c>
      <c r="N95" s="23">
        <f t="shared" si="26"/>
        <v>1486950620.4793601</v>
      </c>
    </row>
    <row r="96" spans="1:84" ht="21.75" customHeight="1" x14ac:dyDescent="0.25">
      <c r="A96" s="43" t="s">
        <v>76</v>
      </c>
      <c r="B96" s="44"/>
      <c r="C96" s="44"/>
      <c r="D96" s="125"/>
      <c r="F96" s="132"/>
      <c r="G96" s="44"/>
      <c r="H96" s="44"/>
      <c r="I96" s="132"/>
      <c r="J96" s="54"/>
      <c r="K96" s="48"/>
      <c r="L96" s="48"/>
      <c r="M96" s="135"/>
      <c r="N96" s="128">
        <f>B96+C96+D96+E96+F96+G96+H96+I96+J96+K96+L96+M96</f>
        <v>0</v>
      </c>
    </row>
    <row r="97" spans="1:16" ht="21.75" customHeight="1" x14ac:dyDescent="0.25">
      <c r="A97" s="43" t="s">
        <v>77</v>
      </c>
      <c r="B97" s="44">
        <f>117271630.59+7140000.59</f>
        <v>124411631.18000001</v>
      </c>
      <c r="C97" s="136">
        <v>64705141.43936</v>
      </c>
      <c r="D97" s="137">
        <v>55112310.700000003</v>
      </c>
      <c r="E97" s="44">
        <v>455402181.50999999</v>
      </c>
      <c r="F97" s="138">
        <v>75839936.950000003</v>
      </c>
      <c r="G97" s="138">
        <v>35087799.329999998</v>
      </c>
      <c r="H97" s="94">
        <v>35336561.270000003</v>
      </c>
      <c r="I97" s="94">
        <v>66334950.840000004</v>
      </c>
      <c r="J97" s="94">
        <v>13815845.949999999</v>
      </c>
      <c r="K97" s="139">
        <v>65343778.969999999</v>
      </c>
      <c r="L97" s="94">
        <v>245699380.27000001</v>
      </c>
      <c r="M97" s="94">
        <v>249861102.06999999</v>
      </c>
      <c r="N97" s="128">
        <f>B97+C97+D97+E97+F97+G97+H97+I97+J97+K97+L97+M97</f>
        <v>1486950620.4793601</v>
      </c>
    </row>
    <row r="98" spans="1:16" ht="21.75" customHeight="1" thickBot="1" x14ac:dyDescent="0.3">
      <c r="A98" s="140"/>
      <c r="B98" s="141"/>
      <c r="C98" s="142"/>
      <c r="D98" s="143"/>
      <c r="E98" s="144"/>
      <c r="F98" s="145"/>
      <c r="G98" s="145"/>
      <c r="H98" s="144"/>
      <c r="I98" s="144"/>
      <c r="J98" s="144"/>
      <c r="K98" s="146"/>
      <c r="L98" s="146"/>
      <c r="M98" s="144"/>
      <c r="N98" s="41"/>
    </row>
    <row r="99" spans="1:16" ht="21.75" customHeight="1" thickBot="1" x14ac:dyDescent="0.3">
      <c r="A99" s="23" t="s">
        <v>78</v>
      </c>
      <c r="B99" s="23">
        <f>B100</f>
        <v>500000000</v>
      </c>
      <c r="C99" s="23">
        <f t="shared" ref="C99:N99" si="27">C100</f>
        <v>0</v>
      </c>
      <c r="D99" s="23">
        <f t="shared" si="27"/>
        <v>570000000</v>
      </c>
      <c r="E99" s="23">
        <f t="shared" si="27"/>
        <v>619700000</v>
      </c>
      <c r="F99" s="23">
        <f t="shared" si="27"/>
        <v>310000000</v>
      </c>
      <c r="G99" s="23">
        <f t="shared" si="27"/>
        <v>903169098</v>
      </c>
      <c r="H99" s="23">
        <f t="shared" si="27"/>
        <v>864269000</v>
      </c>
      <c r="I99" s="23">
        <f t="shared" si="27"/>
        <v>509000000</v>
      </c>
      <c r="J99" s="23">
        <f t="shared" si="27"/>
        <v>400000000</v>
      </c>
      <c r="K99" s="23">
        <f t="shared" si="27"/>
        <v>740000000</v>
      </c>
      <c r="L99" s="23">
        <f t="shared" si="27"/>
        <v>1000000000</v>
      </c>
      <c r="M99" s="23">
        <f t="shared" si="27"/>
        <v>1000000000</v>
      </c>
      <c r="N99" s="23">
        <f t="shared" si="27"/>
        <v>7416138098</v>
      </c>
    </row>
    <row r="100" spans="1:16" ht="21" customHeight="1" thickBot="1" x14ac:dyDescent="0.3">
      <c r="A100" s="140" t="s">
        <v>79</v>
      </c>
      <c r="B100" s="147">
        <f>+'[2]budget recurrent exp jan'!Q267</f>
        <v>500000000</v>
      </c>
      <c r="C100" s="147">
        <f>+'[2]EXP OUTTURN (FEB)'!Q267</f>
        <v>0</v>
      </c>
      <c r="D100" s="148">
        <f>'[2]EXP OUTTURN (MAR)'!Q267</f>
        <v>570000000</v>
      </c>
      <c r="E100" s="91">
        <f>'[2]EXP OUTTURN (APR)'!Q253</f>
        <v>619700000</v>
      </c>
      <c r="F100" s="129">
        <f>'[2] EXP RECURRENT MAY 2021'!Q253</f>
        <v>310000000</v>
      </c>
      <c r="G100" s="131">
        <f>'[2]EXP OUTTURN (JUNE)2021'!Q253</f>
        <v>903169098</v>
      </c>
      <c r="H100" s="129">
        <f>'[2]EXP OUTTURN (JULY)'!Q267</f>
        <v>864269000</v>
      </c>
      <c r="I100" s="91">
        <f>'[2]EXP OUTTURN (AUG) 2021'!Q267</f>
        <v>509000000</v>
      </c>
      <c r="J100" s="91">
        <f>'[2]EXP OUTTURN (SEP)'!Q253</f>
        <v>400000000</v>
      </c>
      <c r="K100" s="126">
        <f>'[2]recurrent octber 2021'!Q271</f>
        <v>740000000</v>
      </c>
      <c r="L100" s="126">
        <f>'[2]EXP OUTTURN (NOV) 2021 '!Q267</f>
        <v>1000000000</v>
      </c>
      <c r="M100" s="91">
        <v>1000000000</v>
      </c>
      <c r="N100" s="128">
        <f>B100+C100+D100+E100+F100+G100+H100+I100+J100+K100+L100+M100</f>
        <v>7416138098</v>
      </c>
    </row>
    <row r="101" spans="1:16" ht="21.75" customHeight="1" thickBot="1" x14ac:dyDescent="0.3">
      <c r="A101" s="23" t="s">
        <v>80</v>
      </c>
      <c r="B101" s="23">
        <f t="shared" ref="B101:N101" si="28">SUM(B102:B103)</f>
        <v>1719945956</v>
      </c>
      <c r="C101" s="23">
        <f t="shared" si="28"/>
        <v>2391136715</v>
      </c>
      <c r="D101" s="23">
        <f t="shared" si="28"/>
        <v>3380502804.4300003</v>
      </c>
      <c r="E101" s="23">
        <f t="shared" si="28"/>
        <v>2667822969.5</v>
      </c>
      <c r="F101" s="23">
        <f t="shared" si="28"/>
        <v>3250439477.4200001</v>
      </c>
      <c r="G101" s="23">
        <f t="shared" si="28"/>
        <v>4417890733.4400005</v>
      </c>
      <c r="H101" s="23">
        <f t="shared" si="28"/>
        <v>3884538486</v>
      </c>
      <c r="I101" s="23">
        <f t="shared" si="28"/>
        <v>5010895082</v>
      </c>
      <c r="J101" s="23">
        <f t="shared" si="28"/>
        <v>5239201515</v>
      </c>
      <c r="K101" s="23">
        <f t="shared" si="28"/>
        <v>4852360713.6000004</v>
      </c>
      <c r="L101" s="149">
        <f t="shared" si="28"/>
        <v>5745380127</v>
      </c>
      <c r="M101" s="23">
        <f t="shared" si="28"/>
        <v>12527193706.84</v>
      </c>
      <c r="N101" s="23">
        <f t="shared" si="28"/>
        <v>55087308286.230003</v>
      </c>
      <c r="O101" s="116"/>
    </row>
    <row r="102" spans="1:16" ht="21.75" customHeight="1" thickBot="1" x14ac:dyDescent="0.3">
      <c r="A102" s="43" t="s">
        <v>81</v>
      </c>
      <c r="B102" s="150">
        <f>+'[2]CURRENT TRANSFERS'!N306</f>
        <v>1514945956</v>
      </c>
      <c r="C102" s="151">
        <f>+'[2]CURRENT TRANSFERS'!Q306</f>
        <v>1812212684</v>
      </c>
      <c r="D102" s="152">
        <f>'[2]CURRENT TRANSFERS'!T306</f>
        <v>1775384361.4300001</v>
      </c>
      <c r="E102" s="150">
        <f>'[2]CURRENT TRANSFERS'!W306</f>
        <v>2011539036</v>
      </c>
      <c r="F102" s="151">
        <f>'[2]CURRENT TRANSFERS'!Z306</f>
        <v>2067798812</v>
      </c>
      <c r="G102" s="150">
        <v>3544801125</v>
      </c>
      <c r="H102" s="150">
        <v>2838157106</v>
      </c>
      <c r="I102" s="150">
        <v>2837973252</v>
      </c>
      <c r="J102" s="150">
        <v>3051182929</v>
      </c>
      <c r="K102" s="153">
        <v>2846689383</v>
      </c>
      <c r="L102" s="153">
        <v>4753054715</v>
      </c>
      <c r="M102" s="154">
        <v>5693378766</v>
      </c>
      <c r="N102" s="155">
        <f>B102+C102+D102+E102+F102+G102+H102+I102+J102+K102+L102+M102</f>
        <v>34747118125.43</v>
      </c>
      <c r="O102" s="116"/>
      <c r="P102" s="116"/>
    </row>
    <row r="103" spans="1:16" ht="21" customHeight="1" x14ac:dyDescent="0.25">
      <c r="A103" s="43" t="s">
        <v>82</v>
      </c>
      <c r="B103" s="150">
        <f>+'[2]CURRENT TRANSFERS'!O306</f>
        <v>205000000</v>
      </c>
      <c r="C103" s="150">
        <f>+'[2]CURRENT TRANSFERS'!R306</f>
        <v>578924031</v>
      </c>
      <c r="D103" s="150">
        <f>'[2]CURRENT TRANSFERS'!U306</f>
        <v>1605118443</v>
      </c>
      <c r="E103" s="150">
        <f>'[2]CURRENT TRANSFERS'!X306+23210027.5</f>
        <v>656283933.5</v>
      </c>
      <c r="F103" s="150">
        <f>'[2]CURRENT TRANSFERS'!AA306+152305200+51496830.42</f>
        <v>1182640665.4200001</v>
      </c>
      <c r="G103" s="150">
        <f>694859800+178229808.44</f>
        <v>873089608.44000006</v>
      </c>
      <c r="H103" s="150">
        <v>1046381380</v>
      </c>
      <c r="I103" s="150">
        <v>2172921830</v>
      </c>
      <c r="J103" s="150">
        <v>2188018586</v>
      </c>
      <c r="K103" s="150">
        <f>1942975665+62695665.6</f>
        <v>2005671330.5999999</v>
      </c>
      <c r="L103" s="150">
        <v>992325412</v>
      </c>
      <c r="M103" s="147">
        <f>1100996000+412278000+871031000+786516000+3662993940.84</f>
        <v>6833814940.8400002</v>
      </c>
      <c r="N103" s="155">
        <f>B103+C103+D103+E103+F103+G103+H103+I103+J103+K103+L103+M103</f>
        <v>20340190160.800003</v>
      </c>
    </row>
    <row r="104" spans="1:16" ht="21" customHeight="1" thickBot="1" x14ac:dyDescent="0.3">
      <c r="A104" s="140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8"/>
    </row>
    <row r="105" spans="1:16" ht="21.75" customHeight="1" thickBot="1" x14ac:dyDescent="0.3">
      <c r="A105" s="23" t="s">
        <v>83</v>
      </c>
      <c r="B105" s="23">
        <f t="shared" ref="B105:M105" si="29">SUM(B106)</f>
        <v>4653552778.75</v>
      </c>
      <c r="C105" s="23">
        <f t="shared" si="29"/>
        <v>1909909765</v>
      </c>
      <c r="D105" s="23">
        <f t="shared" si="29"/>
        <v>7398687507.4300003</v>
      </c>
      <c r="E105" s="23">
        <f t="shared" si="29"/>
        <v>4711112376</v>
      </c>
      <c r="F105" s="23">
        <f t="shared" si="29"/>
        <v>5632057262</v>
      </c>
      <c r="G105" s="23">
        <f t="shared" si="29"/>
        <v>3282033050</v>
      </c>
      <c r="H105" s="23">
        <f t="shared" si="29"/>
        <v>3348737440</v>
      </c>
      <c r="I105" s="23">
        <f t="shared" si="29"/>
        <v>4996159811</v>
      </c>
      <c r="J105" s="23">
        <f t="shared" si="29"/>
        <v>5390643594</v>
      </c>
      <c r="K105" s="23">
        <f t="shared" si="29"/>
        <v>9191376557</v>
      </c>
      <c r="L105" s="23">
        <f t="shared" si="29"/>
        <v>3902886378</v>
      </c>
      <c r="M105" s="23">
        <f t="shared" si="29"/>
        <v>4351262991.21</v>
      </c>
      <c r="N105" s="23">
        <f>B105+C105+D105+E105+F105+G105+H105+I105+J105+K105+L105+M105</f>
        <v>58768419510.389999</v>
      </c>
    </row>
    <row r="106" spans="1:16" ht="21" customHeight="1" x14ac:dyDescent="0.25">
      <c r="A106" s="43" t="s">
        <v>83</v>
      </c>
      <c r="B106" s="91">
        <f>+'[2]budget recurrent exp jan'!P267+1456996150</f>
        <v>4653552778.75</v>
      </c>
      <c r="C106" s="91">
        <f>+'[2]EXP OUTTURN (FEB)'!P267+1807226325</f>
        <v>1909909765</v>
      </c>
      <c r="D106" s="91">
        <f>'[2]EXP OUTTURN (MAR)'!P267+2623020388</f>
        <v>7398687507.4300003</v>
      </c>
      <c r="E106" s="91">
        <f>'[2]EXP OUTTURN (APR)'!P253+2342438305</f>
        <v>4711112376</v>
      </c>
      <c r="F106" s="91">
        <f>'[2] EXP RECURRENT MAY 2021'!P253+2406912796</f>
        <v>5632057262</v>
      </c>
      <c r="G106" s="131">
        <f>'[2]EXP OUTTURN (JUNE)2021'!P253+2416824061</f>
        <v>3282033050</v>
      </c>
      <c r="H106" s="91">
        <f>'[2]EXP OUTTURN (JULY)'!P267+2656867744</f>
        <v>3348737440</v>
      </c>
      <c r="I106" s="91">
        <f>'[2]EXP OUTTURN (AUG) 2021'!P267+2732852087</f>
        <v>4996159811</v>
      </c>
      <c r="J106" s="91">
        <f>'[2]EXP OUTTURN (SEP)'!P253+2743753198</f>
        <v>5390643594</v>
      </c>
      <c r="K106" s="126">
        <f>'[2]recurrent octber 2021'!P271+2767788722</f>
        <v>9191376557</v>
      </c>
      <c r="L106" s="126">
        <f>'[2]EXP OUTTURN (NOV) 2021 '!P267+2836799970</f>
        <v>3902886378</v>
      </c>
      <c r="M106" s="91">
        <v>4351262991.21</v>
      </c>
      <c r="N106" s="155">
        <f>B106+C106+D106+E106+F106+G106+H106+I106+J106+K106+L106+M106</f>
        <v>58768419510.389999</v>
      </c>
      <c r="O106" s="116"/>
    </row>
    <row r="107" spans="1:16" ht="21" customHeight="1" thickBot="1" x14ac:dyDescent="0.3">
      <c r="A107" s="4"/>
      <c r="B107" s="156"/>
      <c r="D107" s="147"/>
      <c r="E107" s="147"/>
      <c r="F107" s="147"/>
      <c r="G107" s="157"/>
      <c r="H107" s="147"/>
      <c r="I107" s="147"/>
      <c r="J107" s="147"/>
      <c r="K107" s="158"/>
      <c r="L107" s="158"/>
      <c r="M107" s="147"/>
      <c r="N107" s="18"/>
    </row>
    <row r="108" spans="1:16" ht="21.75" customHeight="1" thickBot="1" x14ac:dyDescent="0.3">
      <c r="A108" s="23" t="s">
        <v>84</v>
      </c>
      <c r="B108" s="23">
        <f>SUM(B109+B110)</f>
        <v>0</v>
      </c>
      <c r="C108" s="23">
        <f>SUM(C109+C110)</f>
        <v>1258794415</v>
      </c>
      <c r="D108" s="23">
        <f>SUM(D109+D110)</f>
        <v>134089732</v>
      </c>
      <c r="E108" s="23">
        <f t="shared" ref="E108:N108" si="30">SUM(E109+E110)</f>
        <v>56882566</v>
      </c>
      <c r="F108" s="23">
        <f t="shared" si="30"/>
        <v>1290319701</v>
      </c>
      <c r="G108" s="23">
        <f t="shared" si="30"/>
        <v>492917237.27999997</v>
      </c>
      <c r="H108" s="23">
        <f t="shared" si="30"/>
        <v>136911091.49000001</v>
      </c>
      <c r="I108" s="23">
        <f t="shared" si="30"/>
        <v>2681589681.3900003</v>
      </c>
      <c r="J108" s="23">
        <f t="shared" si="30"/>
        <v>2498464802</v>
      </c>
      <c r="K108" s="23">
        <f t="shared" si="30"/>
        <v>591439512</v>
      </c>
      <c r="L108" s="23">
        <f>SUM(L109+L110)</f>
        <v>796842109.36000001</v>
      </c>
      <c r="M108" s="23">
        <f t="shared" ref="M108" si="31">SUM(M109+M110)</f>
        <v>416750648.56999999</v>
      </c>
      <c r="N108" s="23">
        <f t="shared" si="30"/>
        <v>10355001496.09</v>
      </c>
    </row>
    <row r="109" spans="1:16" ht="35.25" customHeight="1" x14ac:dyDescent="0.25">
      <c r="A109" s="43" t="s">
        <v>85</v>
      </c>
      <c r="B109" s="94"/>
      <c r="C109" s="94">
        <f>+'[2]EXP OUTTURN (FEB)'!T261</f>
        <v>495505963</v>
      </c>
      <c r="D109" s="94"/>
      <c r="E109" s="94"/>
      <c r="F109" s="94">
        <f>'[2]MAY PSIP 2021'!H702</f>
        <v>1251943264</v>
      </c>
      <c r="G109" s="94">
        <f>'[2]EXP OUTTURN (JUNE)2021'!T261</f>
        <v>461157923</v>
      </c>
      <c r="H109" s="94">
        <f>'[2]EXP OUTTURN (JULY)'!T261</f>
        <v>101683879</v>
      </c>
      <c r="I109" s="94">
        <f>'[2]PSIP _ AUG 2021'!H677</f>
        <v>1502000000</v>
      </c>
      <c r="J109" s="94">
        <f>'[2]PSIP _SEPT'!H679</f>
        <v>2498464802</v>
      </c>
      <c r="K109" s="94">
        <v>1683878</v>
      </c>
      <c r="L109" s="94">
        <f>'[2]EXP OUTTURN (NOV) 2021 '!T261</f>
        <v>68479516</v>
      </c>
      <c r="M109" s="94">
        <v>416750648.56999999</v>
      </c>
      <c r="N109" s="128">
        <f t="shared" ref="N109:N121" si="32">B109+C109+D109+E109+F109+G109+H109+I109+J109+K109+L109+M109</f>
        <v>6797669873.5699997</v>
      </c>
    </row>
    <row r="110" spans="1:16" ht="21.75" customHeight="1" thickBot="1" x14ac:dyDescent="0.3">
      <c r="A110" s="43" t="s">
        <v>86</v>
      </c>
      <c r="B110" s="159"/>
      <c r="C110" s="138">
        <f>+'[2]EXP OUTTURN (FEB)'!O267</f>
        <v>763288452</v>
      </c>
      <c r="D110" s="92">
        <f>'[2]EXP OUTTURN (MAR)'!O267+45350820+23935155+45424638</f>
        <v>134089732</v>
      </c>
      <c r="E110" s="91">
        <f>'[2]EXP OUTTURN (APR)'!O253</f>
        <v>56882566</v>
      </c>
      <c r="F110" s="91">
        <f>'[2] EXP RECURRENT MAY 2021'!O253</f>
        <v>38376437</v>
      </c>
      <c r="G110" s="91">
        <f>'[2]EXP OUTTURN (JUNE)2021'!O253+3912699.28+23016285</f>
        <v>31759314.280000001</v>
      </c>
      <c r="H110" s="91">
        <v>35227212.490000002</v>
      </c>
      <c r="I110" s="91">
        <f>'[2]EXP OUTTURN (AUG) 2021'!O267+6383681.39</f>
        <v>1179589681.3900001</v>
      </c>
      <c r="J110" s="91"/>
      <c r="K110" s="126">
        <f>'[2]recurrent octber 2021'!O271+24321384</f>
        <v>589755634</v>
      </c>
      <c r="L110" s="126">
        <f>'[2]EXP OUTTURN (NOV) 2021 '!K267</f>
        <v>728362593.36000001</v>
      </c>
      <c r="M110" s="91"/>
      <c r="N110" s="128">
        <f t="shared" si="32"/>
        <v>3557331622.52</v>
      </c>
    </row>
    <row r="111" spans="1:16" ht="21.75" customHeight="1" thickBot="1" x14ac:dyDescent="0.3">
      <c r="A111" s="12" t="s">
        <v>87</v>
      </c>
      <c r="B111" s="12">
        <f t="shared" ref="B111:M111" si="33">SUM(B112:B121)</f>
        <v>5492550955.4499998</v>
      </c>
      <c r="C111" s="12">
        <f>SUM(C112:C121)</f>
        <v>8304039991.1999998</v>
      </c>
      <c r="D111" s="12">
        <f>SUM(D112:D121)</f>
        <v>10547083527</v>
      </c>
      <c r="E111" s="12">
        <f>SUM(E112:E121)</f>
        <v>4623605047.1700001</v>
      </c>
      <c r="F111" s="12">
        <f t="shared" si="33"/>
        <v>15832218042</v>
      </c>
      <c r="G111" s="12">
        <f t="shared" si="33"/>
        <v>22408198141.805</v>
      </c>
      <c r="H111" s="12">
        <f t="shared" si="33"/>
        <v>16998941030</v>
      </c>
      <c r="I111" s="12">
        <f t="shared" si="33"/>
        <v>21817282784</v>
      </c>
      <c r="J111" s="12">
        <f>SUM(J112:J121)</f>
        <v>20711660646.540001</v>
      </c>
      <c r="K111" s="12">
        <f t="shared" si="33"/>
        <v>13863698788.17</v>
      </c>
      <c r="L111" s="12">
        <f t="shared" si="33"/>
        <v>30093927392.161537</v>
      </c>
      <c r="M111" s="12">
        <f t="shared" si="33"/>
        <v>22520657440</v>
      </c>
      <c r="N111" s="12">
        <f t="shared" si="32"/>
        <v>193213863785.49655</v>
      </c>
    </row>
    <row r="112" spans="1:16" ht="21.75" customHeight="1" x14ac:dyDescent="0.25">
      <c r="A112" s="43" t="s">
        <v>88</v>
      </c>
      <c r="B112" s="94">
        <f>+'[2]PSIP Jan'!B670</f>
        <v>73627869</v>
      </c>
      <c r="C112" s="94">
        <f>+'[2]PSIP Feb'!B698</f>
        <v>1068886279</v>
      </c>
      <c r="D112" s="94">
        <f>'[2]2021_March_E_Sched Exp '!B698</f>
        <v>4884622285</v>
      </c>
      <c r="E112" s="94">
        <f>'[2]2021_April_E_Sched Exp '!B698</f>
        <v>825605263</v>
      </c>
      <c r="F112" s="94">
        <f>'[2]MAY PSIP 2021'!B705</f>
        <v>3294914806</v>
      </c>
      <c r="G112" s="94">
        <f>'[2]2021_June_E_Sched Exp'!B698</f>
        <v>4407459139</v>
      </c>
      <c r="H112" s="94">
        <f>[2]July_PSIP!B698</f>
        <v>3831745527</v>
      </c>
      <c r="I112" s="94">
        <f>'[2]PSIP _ AUG 2021'!B671</f>
        <v>2992774114</v>
      </c>
      <c r="J112" s="94">
        <f>'[2]PSIP _SEPT'!B673</f>
        <v>3215857662</v>
      </c>
      <c r="K112" s="94">
        <f>'[2]PSIP oct 2021'!B698</f>
        <v>4714279185.9499998</v>
      </c>
      <c r="L112" s="94">
        <f>'[2]2021_Nov_E_Sched Exp '!B698</f>
        <v>4937111869.2600002</v>
      </c>
      <c r="M112" s="94">
        <f>'[2]2021_Dec_E_Sched Exp '!B698+39607538</f>
        <v>8440747838</v>
      </c>
      <c r="N112" s="155">
        <f t="shared" si="32"/>
        <v>42687631837.209999</v>
      </c>
    </row>
    <row r="113" spans="1:15" ht="21.75" customHeight="1" x14ac:dyDescent="0.25">
      <c r="A113" s="43" t="s">
        <v>89</v>
      </c>
      <c r="B113" s="94">
        <f>+'[2]PSIP Jan'!C670+'[2]PSIP Jan'!D670</f>
        <v>212730322</v>
      </c>
      <c r="C113" s="94">
        <f>+'[2]PSIP Feb'!C698+'[2]PSIP Feb'!D698</f>
        <v>439509336</v>
      </c>
      <c r="D113" s="94">
        <f>'[2]2021_March_E_Sched Exp '!C698+'[2]2021_March_E_Sched Exp '!D698</f>
        <v>532485075</v>
      </c>
      <c r="E113" s="94">
        <f>'[2]2021_April_E_Sched Exp '!C698+'[2]2021_April_E_Sched Exp '!D698</f>
        <v>478254927</v>
      </c>
      <c r="F113" s="94">
        <f>'[2]MAY PSIP 2021'!C705+'[2]MAY PSIP 2021'!D705</f>
        <v>711339101</v>
      </c>
      <c r="G113" s="94">
        <f>'[2]2021_June_E_Sched Exp'!C698+'[2]2021_June_E_Sched Exp'!D698</f>
        <v>798285577</v>
      </c>
      <c r="H113" s="94">
        <f>[2]July_PSIP!C698+[2]July_PSIP!D698</f>
        <v>633609737</v>
      </c>
      <c r="I113" s="94">
        <f>'[2]PSIP _ AUG 2021'!C671+'[2]PSIP _ AUG 2021'!D671</f>
        <v>2304410776</v>
      </c>
      <c r="J113" s="94">
        <f>'[2]PSIP _SEPT'!C673</f>
        <v>354029404</v>
      </c>
      <c r="K113" s="94">
        <f>'[2]PSIP oct 2021'!C698+'[2]PSIP oct 2021'!D698</f>
        <v>1487487789.9200001</v>
      </c>
      <c r="L113" s="94">
        <f>'[2]2021_Nov_E_Sched Exp '!C698+'[2]2021_Nov_E_Sched Exp '!D698</f>
        <v>5010703559.4200001</v>
      </c>
      <c r="M113" s="94">
        <f>'[2]2021_Dec_E_Sched Exp '!C698+'[2]2021_Dec_E_Sched Exp '!D698</f>
        <v>2897415080</v>
      </c>
      <c r="N113" s="155">
        <f t="shared" si="32"/>
        <v>15860260684.34</v>
      </c>
    </row>
    <row r="114" spans="1:15" ht="21.75" customHeight="1" x14ac:dyDescent="0.25">
      <c r="A114" s="43" t="s">
        <v>90</v>
      </c>
      <c r="B114" s="94">
        <f>+'[2]PSIP Jan'!E670</f>
        <v>122709947.45</v>
      </c>
      <c r="C114" s="94">
        <f>+'[2]PSIP Feb'!E698</f>
        <v>1573755</v>
      </c>
      <c r="D114" s="94">
        <f>'[2]2021_March_E_Sched Exp '!E698</f>
        <v>1759996</v>
      </c>
      <c r="E114" s="94">
        <v>3162904.17</v>
      </c>
      <c r="F114" s="94">
        <f>'[2]MAY PSIP 2021'!E705</f>
        <v>5228985</v>
      </c>
      <c r="G114" s="94">
        <f>'[2]2021_June_E_Sched Exp'!E698</f>
        <v>29527805</v>
      </c>
      <c r="H114" s="94">
        <f>[2]July_PSIP!E698</f>
        <v>117745019</v>
      </c>
      <c r="I114" s="94">
        <f>'[2]PSIP _ AUG 2021'!E671</f>
        <v>80108615</v>
      </c>
      <c r="J114" s="94">
        <f>'[2]PSIP _SEPT'!D673+'[2]PSIP _SEPT'!E673</f>
        <v>727705335</v>
      </c>
      <c r="K114" s="94">
        <f>'[2]PSIP oct 2021'!E698</f>
        <v>365900074</v>
      </c>
      <c r="L114" s="94">
        <f>'[2]2021_Nov_E_Sched Exp '!E698</f>
        <v>1260596650.48</v>
      </c>
      <c r="M114" s="94">
        <f>'[2]2021_Dec_E_Sched Exp '!E698</f>
        <v>3380508634</v>
      </c>
      <c r="N114" s="155">
        <f t="shared" si="32"/>
        <v>6096527720.1000004</v>
      </c>
    </row>
    <row r="115" spans="1:15" ht="21.75" customHeight="1" x14ac:dyDescent="0.25">
      <c r="A115" s="43" t="s">
        <v>91</v>
      </c>
      <c r="B115" s="94"/>
      <c r="C115" s="94"/>
      <c r="D115" s="94"/>
      <c r="E115" s="94"/>
      <c r="F115" s="94"/>
      <c r="G115" s="94">
        <f>'[2]2021_June_E_Sched Exp'!F698</f>
        <v>0</v>
      </c>
      <c r="H115" s="94"/>
      <c r="I115" s="94">
        <f>'[2]PSIP _ AUG 2021'!F671</f>
        <v>0</v>
      </c>
      <c r="J115" s="94">
        <f>'[2]PSIP _SEPT'!F673</f>
        <v>0</v>
      </c>
      <c r="K115" s="94"/>
      <c r="L115" s="94">
        <f>'[2]2021_Nov_E_Sched Exp '!F698</f>
        <v>2173320000</v>
      </c>
      <c r="M115" s="94"/>
      <c r="N115" s="155">
        <f t="shared" si="32"/>
        <v>2173320000</v>
      </c>
    </row>
    <row r="116" spans="1:15" ht="21.75" customHeight="1" x14ac:dyDescent="0.25">
      <c r="A116" s="43" t="s">
        <v>92</v>
      </c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155">
        <f t="shared" si="32"/>
        <v>0</v>
      </c>
    </row>
    <row r="117" spans="1:15" ht="21.75" customHeight="1" x14ac:dyDescent="0.25">
      <c r="A117" s="43" t="s">
        <v>93</v>
      </c>
      <c r="B117" s="94"/>
      <c r="C117" s="94"/>
      <c r="D117" s="94"/>
      <c r="E117" s="94"/>
      <c r="F117" s="94">
        <f>'[2]MAY PSIP 2021'!G705</f>
        <v>9900000</v>
      </c>
      <c r="G117" s="94">
        <f>'[2]2021_June_E_Sched Exp'!G698</f>
        <v>90859500</v>
      </c>
      <c r="H117" s="94">
        <f>[2]July_PSIP!G698</f>
        <v>450000</v>
      </c>
      <c r="I117" s="94">
        <f>'[2]PSIP _ AUG 2021'!G671</f>
        <v>0</v>
      </c>
      <c r="J117" s="138"/>
      <c r="K117" s="94"/>
      <c r="L117" s="94">
        <f>'[2]2021_Nov_E_Sched Exp '!G698</f>
        <v>3350000</v>
      </c>
      <c r="M117" s="94">
        <f>'[2]2021_Dec_E_Sched Exp '!G698</f>
        <v>5033056</v>
      </c>
      <c r="N117" s="155">
        <f t="shared" si="32"/>
        <v>109592556</v>
      </c>
    </row>
    <row r="118" spans="1:15" ht="21.75" customHeight="1" x14ac:dyDescent="0.25">
      <c r="A118" s="43" t="s">
        <v>94</v>
      </c>
      <c r="B118" s="138">
        <f>+'[2]PSIP Jan'!H670</f>
        <v>817710524</v>
      </c>
      <c r="C118" s="138">
        <f>+'[2]PSIP Feb'!H698</f>
        <v>3318588621</v>
      </c>
      <c r="D118" s="138">
        <f>'[2]2021_March_E_Sched Exp '!H698</f>
        <v>3940426845</v>
      </c>
      <c r="E118" s="138">
        <f>'[2]2021_April_E_Sched Exp '!H698</f>
        <v>2359034044</v>
      </c>
      <c r="F118" s="94">
        <f>'[2]MAY PSIP 2021'!H698</f>
        <v>7370707069</v>
      </c>
      <c r="G118" s="94">
        <f>'[2]2021_June_E_Sched Exp'!H698</f>
        <v>8431841032</v>
      </c>
      <c r="H118" s="94">
        <f>[2]July_PSIP!H698</f>
        <v>12256532447</v>
      </c>
      <c r="I118" s="94">
        <f>'[2]PSIP _ AUG 2021'!H671</f>
        <v>15402318935</v>
      </c>
      <c r="J118" s="138">
        <f>'[2]PSIP _SEPT'!H673</f>
        <v>13961453724</v>
      </c>
      <c r="K118" s="94">
        <f>'[2]PSIP oct 2021'!H698</f>
        <v>7296031738.3000002</v>
      </c>
      <c r="L118" s="94">
        <f>'[2]2021_Nov_E_Sched Exp '!H698</f>
        <v>11966137829</v>
      </c>
      <c r="M118" s="94">
        <f>'[2]2021_Dec_E_Sched Exp '!H698-182718000</f>
        <v>7613388832</v>
      </c>
      <c r="N118" s="155">
        <f t="shared" si="32"/>
        <v>94734171640.300003</v>
      </c>
      <c r="O118" s="116"/>
    </row>
    <row r="119" spans="1:15" ht="21.75" customHeight="1" x14ac:dyDescent="0.25">
      <c r="A119" s="43" t="s">
        <v>95</v>
      </c>
      <c r="B119" s="138">
        <f>+'[2]PSIP Jan'!I670</f>
        <v>161607293</v>
      </c>
      <c r="C119" s="138">
        <f>+'[2]PSIP Feb'!I698</f>
        <v>24600000</v>
      </c>
      <c r="D119" s="138">
        <f>'[2]2021_March_E_Sched Exp '!I698</f>
        <v>272898326</v>
      </c>
      <c r="E119" s="138">
        <f>'[2]2021_April_E_Sched Exp '!I698</f>
        <v>482547909</v>
      </c>
      <c r="F119" s="138">
        <f>'[2]MAY PSIP 2021'!I705</f>
        <v>211294081</v>
      </c>
      <c r="G119" s="94">
        <f>'[2]2021_June_E_Sched Exp'!I698</f>
        <v>523181807</v>
      </c>
      <c r="H119" s="94">
        <f>[2]July_PSIP!I698</f>
        <v>158858300</v>
      </c>
      <c r="I119" s="94">
        <f>'[2]PSIP _ AUG 2021'!I671</f>
        <v>81268344</v>
      </c>
      <c r="J119" s="138">
        <f>'[2]PSIP _SEPT'!I673</f>
        <v>1421662560</v>
      </c>
      <c r="K119" s="94"/>
      <c r="L119" s="94">
        <f>'[2]2021_Nov_E_Sched Exp '!I698</f>
        <v>119714984</v>
      </c>
      <c r="M119" s="94">
        <f>'[2]2021_Dec_E_Sched Exp '!I698</f>
        <v>182281000</v>
      </c>
      <c r="N119" s="155">
        <f t="shared" si="32"/>
        <v>3639914604</v>
      </c>
    </row>
    <row r="120" spans="1:15" ht="21.75" customHeight="1" x14ac:dyDescent="0.25">
      <c r="A120" s="43" t="s">
        <v>96</v>
      </c>
      <c r="B120" s="138">
        <f>'[2]PSIP Jan'!J670</f>
        <v>4104165000</v>
      </c>
      <c r="C120" s="138">
        <f>+'[2]PSIP Feb'!J698</f>
        <v>3450882000.1999998</v>
      </c>
      <c r="D120" s="138">
        <f>'[2]2021_March_E_Sched Exp '!J698+161325192.31+490428584.62+96795115.38+90342107.69</f>
        <v>914891000</v>
      </c>
      <c r="E120" s="138">
        <f>'[2]2021_April_E_Sched Exp '!J698-175350000</f>
        <v>475000000</v>
      </c>
      <c r="F120" s="94">
        <f>487662692.31+325574615.38+1482494584.62+989746830.77+292597615.38+195344769.23+273091107.69+182321784.62</f>
        <v>4228834000</v>
      </c>
      <c r="G120" s="94">
        <f>'[2]2021_June_E_Sched Exp'!J698+187539849.82+164166153.85+570121143.43+499065107.69+112523909.89+98499692.31+105022315.9+91933046.15</f>
        <v>8127043281.8049994</v>
      </c>
      <c r="H120" s="94"/>
      <c r="I120" s="94">
        <f>'[2]PSIP _ AUG 2021'!J671+164692692.31+500665784.62+98815615.38+92227907.69</f>
        <v>956402000</v>
      </c>
      <c r="J120" s="138">
        <f>'[2]PSIP _SEPT'!J673</f>
        <v>1030951961.5400001</v>
      </c>
      <c r="K120" s="94"/>
      <c r="L120" s="94">
        <f>'[2]2021_Nov_E_Sched Exp '!J698</f>
        <v>4622992500.0015383</v>
      </c>
      <c r="M120" s="94">
        <f>'[2]2021_Dec_E_Sched Exp '!J698</f>
        <v>1283000</v>
      </c>
      <c r="N120" s="155">
        <f t="shared" si="32"/>
        <v>27912444743.546539</v>
      </c>
    </row>
    <row r="121" spans="1:15" ht="21.75" customHeight="1" x14ac:dyDescent="0.25">
      <c r="A121" s="43" t="s">
        <v>97</v>
      </c>
      <c r="B121" s="94"/>
      <c r="C121" s="94"/>
      <c r="D121" s="94"/>
      <c r="E121" s="94"/>
      <c r="F121" s="94"/>
      <c r="G121" s="94">
        <f>'[2]2021_June_E_Sched Exp'!K698</f>
        <v>0</v>
      </c>
      <c r="H121" s="94"/>
      <c r="I121" s="94">
        <f>'[2]PSIP _ AUG 2021'!K671</f>
        <v>0</v>
      </c>
      <c r="J121" s="138"/>
      <c r="K121" s="94"/>
      <c r="L121" s="94"/>
      <c r="M121" s="94"/>
      <c r="N121" s="94">
        <f t="shared" si="32"/>
        <v>0</v>
      </c>
    </row>
    <row r="122" spans="1:15" ht="21.75" customHeight="1" thickBot="1" x14ac:dyDescent="0.3">
      <c r="A122" s="43"/>
      <c r="B122" s="94"/>
      <c r="C122" s="94"/>
      <c r="D122" s="92"/>
      <c r="E122" s="91"/>
      <c r="F122" s="94"/>
      <c r="G122" s="94"/>
      <c r="H122" s="94"/>
      <c r="I122" s="94"/>
      <c r="J122" s="138"/>
      <c r="K122" s="96"/>
      <c r="L122" s="96"/>
      <c r="M122" s="94"/>
      <c r="N122" s="128"/>
    </row>
    <row r="123" spans="1:15" s="21" customFormat="1" ht="21.75" customHeight="1" thickBot="1" x14ac:dyDescent="0.3">
      <c r="A123" s="31" t="s">
        <v>98</v>
      </c>
      <c r="B123" s="32">
        <f t="shared" ref="B123:M123" si="34">B8-B77</f>
        <v>4142631379.1999969</v>
      </c>
      <c r="C123" s="32">
        <f t="shared" si="34"/>
        <v>-36095579.629356384</v>
      </c>
      <c r="D123" s="160">
        <f t="shared" si="34"/>
        <v>3973592124.0763474</v>
      </c>
      <c r="E123" s="32">
        <f t="shared" si="34"/>
        <v>511686096.54696274</v>
      </c>
      <c r="F123" s="32">
        <f t="shared" si="34"/>
        <v>-9831657838.136692</v>
      </c>
      <c r="G123" s="32">
        <f t="shared" si="34"/>
        <v>-2828630860.5669479</v>
      </c>
      <c r="H123" s="32">
        <f t="shared" si="34"/>
        <v>-15194538682.320408</v>
      </c>
      <c r="I123" s="32">
        <f t="shared" si="34"/>
        <v>-17656245561.439392</v>
      </c>
      <c r="J123" s="32">
        <f t="shared" si="34"/>
        <v>-2554243067.5597</v>
      </c>
      <c r="K123" s="32">
        <f t="shared" si="34"/>
        <v>-10292869978.812347</v>
      </c>
      <c r="L123" s="32">
        <f t="shared" si="34"/>
        <v>-34889094804.302361</v>
      </c>
      <c r="M123" s="32">
        <f t="shared" si="34"/>
        <v>22234446157.53476</v>
      </c>
      <c r="N123" s="32">
        <f>B123+C123+D123+E123+F123+G123+H123+I123+J123+K123+L123+M123</f>
        <v>-62421020615.409134</v>
      </c>
    </row>
    <row r="124" spans="1:15" ht="21.75" customHeight="1" thickBot="1" x14ac:dyDescent="0.3">
      <c r="A124" s="43"/>
      <c r="B124" s="161"/>
      <c r="C124" s="161"/>
      <c r="D124" s="161"/>
      <c r="E124" s="161"/>
      <c r="F124" s="161"/>
      <c r="G124" s="161"/>
      <c r="H124" s="161"/>
      <c r="I124" s="161"/>
      <c r="J124" s="161"/>
      <c r="K124" s="161"/>
      <c r="L124" s="161"/>
      <c r="M124" s="161"/>
      <c r="N124" s="32"/>
    </row>
    <row r="125" spans="1:15" s="21" customFormat="1" ht="21.75" customHeight="1" thickBot="1" x14ac:dyDescent="0.3">
      <c r="A125" s="31" t="s">
        <v>99</v>
      </c>
      <c r="B125" s="32">
        <f t="shared" ref="B125:M125" si="35">+B152+B127+B157</f>
        <v>-4142631378.7099972</v>
      </c>
      <c r="C125" s="32">
        <f t="shared" si="35"/>
        <v>36095580.100000381</v>
      </c>
      <c r="D125" s="32">
        <f t="shared" si="35"/>
        <v>-3973592124.3433647</v>
      </c>
      <c r="E125" s="32">
        <f t="shared" si="35"/>
        <v>-511686097.11968327</v>
      </c>
      <c r="F125" s="32">
        <f t="shared" si="35"/>
        <v>9831657838.4814835</v>
      </c>
      <c r="G125" s="32">
        <f t="shared" si="35"/>
        <v>2828630861.0874672</v>
      </c>
      <c r="H125" s="32">
        <f t="shared" si="35"/>
        <v>15194538682.177883</v>
      </c>
      <c r="I125" s="32">
        <f t="shared" si="35"/>
        <v>17656245560.793003</v>
      </c>
      <c r="J125" s="32">
        <f t="shared" si="35"/>
        <v>2554243068.1390657</v>
      </c>
      <c r="K125" s="32">
        <f t="shared" si="35"/>
        <v>10292869978.662148</v>
      </c>
      <c r="L125" s="32">
        <f t="shared" si="35"/>
        <v>34862694803.942291</v>
      </c>
      <c r="M125" s="32">
        <f t="shared" si="35"/>
        <v>-29192111416.580643</v>
      </c>
      <c r="N125" s="32">
        <f>B125+C125+D125+E125+F125+G125+H125+I125+J125+K125+L125+M125</f>
        <v>55436955356.629654</v>
      </c>
    </row>
    <row r="126" spans="1:15" ht="21.75" customHeight="1" thickBot="1" x14ac:dyDescent="0.3">
      <c r="A126" s="162"/>
      <c r="B126" s="163"/>
      <c r="C126" s="163"/>
      <c r="D126" s="164"/>
      <c r="E126" s="163"/>
      <c r="F126" s="163"/>
      <c r="G126" s="163"/>
      <c r="H126" s="163"/>
      <c r="I126" s="163"/>
      <c r="J126" s="163"/>
      <c r="K126" s="165"/>
      <c r="L126" s="165"/>
      <c r="M126" s="163"/>
      <c r="N126" s="166"/>
    </row>
    <row r="127" spans="1:15" ht="21.75" customHeight="1" thickBot="1" x14ac:dyDescent="0.3">
      <c r="A127" s="11" t="s">
        <v>100</v>
      </c>
      <c r="B127" s="12">
        <f t="shared" ref="B127:K127" si="36">B144+B129</f>
        <v>-5708837334.6299973</v>
      </c>
      <c r="C127" s="12">
        <f t="shared" si="36"/>
        <v>1770931030.1000004</v>
      </c>
      <c r="D127" s="13">
        <f t="shared" si="36"/>
        <v>-15335010935.343365</v>
      </c>
      <c r="E127" s="12">
        <f t="shared" si="36"/>
        <v>2467711919.8803167</v>
      </c>
      <c r="F127" s="12">
        <f t="shared" si="36"/>
        <v>2351406642.8114834</v>
      </c>
      <c r="G127" s="12">
        <f t="shared" si="36"/>
        <v>-17432431156.848873</v>
      </c>
      <c r="H127" s="12">
        <f t="shared" si="36"/>
        <v>34237745696.987991</v>
      </c>
      <c r="I127" s="12">
        <f t="shared" si="36"/>
        <v>3435151947.5830054</v>
      </c>
      <c r="J127" s="12">
        <f t="shared" si="36"/>
        <v>5293914135.8096704</v>
      </c>
      <c r="K127" s="14">
        <f t="shared" si="36"/>
        <v>-8591208073.3378525</v>
      </c>
      <c r="L127" s="14">
        <f>L144+L129</f>
        <v>14685242097.015659</v>
      </c>
      <c r="M127" s="12">
        <f>M144+M129</f>
        <v>-9098611250.1027966</v>
      </c>
      <c r="N127" s="32">
        <f>B127+C127+D127+E127+F127+G127+H127+I127+J127+K127+L127+M127</f>
        <v>8076004719.9252453</v>
      </c>
    </row>
    <row r="128" spans="1:15" ht="21.75" customHeight="1" thickBot="1" x14ac:dyDescent="0.3">
      <c r="A128" s="22"/>
      <c r="B128" s="23"/>
      <c r="C128" s="23"/>
      <c r="D128" s="24"/>
      <c r="E128" s="23"/>
      <c r="F128" s="23"/>
      <c r="G128" s="23"/>
      <c r="H128" s="23"/>
      <c r="I128" s="23"/>
      <c r="J128" s="25"/>
      <c r="K128" s="26"/>
      <c r="L128" s="27"/>
      <c r="M128" s="28"/>
      <c r="N128" s="29"/>
    </row>
    <row r="129" spans="1:14" ht="21.75" customHeight="1" thickBot="1" x14ac:dyDescent="0.3">
      <c r="A129" s="22" t="s">
        <v>101</v>
      </c>
      <c r="B129" s="167">
        <f t="shared" ref="B129:M129" si="37">+B130-B137</f>
        <v>-5708837334.6299973</v>
      </c>
      <c r="C129" s="167">
        <f t="shared" si="37"/>
        <v>1770931030.1000004</v>
      </c>
      <c r="D129" s="167">
        <f t="shared" si="37"/>
        <v>-15209816619.953365</v>
      </c>
      <c r="E129" s="167">
        <f t="shared" si="37"/>
        <v>2467711919.8803167</v>
      </c>
      <c r="F129" s="167">
        <f t="shared" si="37"/>
        <v>2351406642.8114834</v>
      </c>
      <c r="G129" s="167">
        <f t="shared" si="37"/>
        <v>-17432431156.848873</v>
      </c>
      <c r="H129" s="167">
        <f t="shared" si="37"/>
        <v>34237745696.987991</v>
      </c>
      <c r="I129" s="167">
        <f t="shared" si="37"/>
        <v>3365151947.5830054</v>
      </c>
      <c r="J129" s="167">
        <f t="shared" si="37"/>
        <v>5213914135.8096704</v>
      </c>
      <c r="K129" s="167">
        <f t="shared" si="37"/>
        <v>-8591208073.3378525</v>
      </c>
      <c r="L129" s="167">
        <f t="shared" si="37"/>
        <v>14685242097.015659</v>
      </c>
      <c r="M129" s="167">
        <f t="shared" si="37"/>
        <v>-9098611250.1027966</v>
      </c>
      <c r="N129" s="155">
        <f t="shared" ref="N129:N150" si="38">B129+C129+D129+E129+F129+G129+H129+I129+J129+K129+L129+M129</f>
        <v>8051199035.3152447</v>
      </c>
    </row>
    <row r="130" spans="1:14" s="170" customFormat="1" ht="21.75" customHeight="1" x14ac:dyDescent="0.25">
      <c r="A130" s="168" t="s">
        <v>102</v>
      </c>
      <c r="B130" s="169">
        <f>SUM(B131:B133)+B135</f>
        <v>-3504857921.369997</v>
      </c>
      <c r="C130" s="169">
        <f t="shared" ref="C130:L130" si="39">SUM(C131:C133)+C135</f>
        <v>7503495008.3400002</v>
      </c>
      <c r="D130" s="169">
        <f t="shared" si="39"/>
        <v>-14818423854.693365</v>
      </c>
      <c r="E130" s="169">
        <f t="shared" si="39"/>
        <v>2852146781.1003165</v>
      </c>
      <c r="F130" s="169">
        <f t="shared" si="39"/>
        <v>2817875091.2914834</v>
      </c>
      <c r="G130" s="169">
        <f t="shared" si="39"/>
        <v>-17181748781.208874</v>
      </c>
      <c r="H130" s="169">
        <f t="shared" si="39"/>
        <v>34468002332.65799</v>
      </c>
      <c r="I130" s="169">
        <f t="shared" si="39"/>
        <v>3707656341.3930054</v>
      </c>
      <c r="J130" s="169">
        <f t="shared" si="39"/>
        <v>5280999750.9396706</v>
      </c>
      <c r="K130" s="169">
        <f t="shared" si="39"/>
        <v>-7488368069.567852</v>
      </c>
      <c r="L130" s="169">
        <f t="shared" si="39"/>
        <v>19753626715.565659</v>
      </c>
      <c r="M130" s="169">
        <f>SUM(M131:M134)+M135</f>
        <v>-3479508095.9327965</v>
      </c>
      <c r="N130" s="155">
        <f t="shared" si="38"/>
        <v>29910895298.51524</v>
      </c>
    </row>
    <row r="131" spans="1:14" s="134" customFormat="1" ht="21.75" customHeight="1" x14ac:dyDescent="0.25">
      <c r="A131" s="90" t="s">
        <v>103</v>
      </c>
      <c r="B131" s="54">
        <f>B165-B166</f>
        <v>-3784426440.2899971</v>
      </c>
      <c r="C131" s="54">
        <f t="shared" ref="C131:M131" si="40">C165-C166</f>
        <v>2790671866.3899994</v>
      </c>
      <c r="D131" s="54">
        <f t="shared" si="40"/>
        <v>-15490954171.138119</v>
      </c>
      <c r="E131" s="54">
        <f t="shared" si="40"/>
        <v>3473285368.9362297</v>
      </c>
      <c r="F131" s="54">
        <f t="shared" si="40"/>
        <v>3677643188.4823685</v>
      </c>
      <c r="G131" s="54">
        <f t="shared" si="40"/>
        <v>-20203510889.547688</v>
      </c>
      <c r="H131" s="54">
        <f t="shared" si="40"/>
        <v>25716170765.132404</v>
      </c>
      <c r="I131" s="54">
        <f t="shared" si="40"/>
        <v>-10066374268.639301</v>
      </c>
      <c r="J131" s="54">
        <f t="shared" si="40"/>
        <v>-2923342475.1907654</v>
      </c>
      <c r="K131" s="54">
        <f t="shared" si="40"/>
        <v>-12221150969.390388</v>
      </c>
      <c r="L131" s="54">
        <f t="shared" si="40"/>
        <v>13349837994.883293</v>
      </c>
      <c r="M131" s="54">
        <f t="shared" si="40"/>
        <v>-8331189127.2618027</v>
      </c>
      <c r="N131" s="155">
        <f t="shared" si="38"/>
        <v>-24013339157.633766</v>
      </c>
    </row>
    <row r="132" spans="1:14" s="134" customFormat="1" ht="21.75" customHeight="1" x14ac:dyDescent="0.25">
      <c r="A132" s="90" t="s">
        <v>104</v>
      </c>
      <c r="B132" s="54">
        <f>B171-B172</f>
        <v>-2534875778</v>
      </c>
      <c r="C132" s="54">
        <f t="shared" ref="C132:M132" si="41">C171-C172</f>
        <v>-1523431596.3199997</v>
      </c>
      <c r="D132" s="54">
        <f t="shared" si="41"/>
        <v>-380916452.42000008</v>
      </c>
      <c r="E132" s="54">
        <f t="shared" si="41"/>
        <v>-681118374.99115944</v>
      </c>
      <c r="F132" s="54">
        <f t="shared" si="41"/>
        <v>-943766678.17088509</v>
      </c>
      <c r="G132" s="54">
        <f t="shared" si="41"/>
        <v>-293674467.55362511</v>
      </c>
      <c r="H132" s="54">
        <f t="shared" si="41"/>
        <v>578228316.89516068</v>
      </c>
      <c r="I132" s="54">
        <f t="shared" si="41"/>
        <v>2554718447.8351688</v>
      </c>
      <c r="J132" s="54">
        <f t="shared" si="41"/>
        <v>2619551169.5404358</v>
      </c>
      <c r="K132" s="54">
        <f t="shared" si="41"/>
        <v>2215401122.6514196</v>
      </c>
      <c r="L132" s="54">
        <f t="shared" si="41"/>
        <v>1306622511.8721452</v>
      </c>
      <c r="M132" s="54">
        <f t="shared" si="41"/>
        <v>-4874312929.8327599</v>
      </c>
      <c r="N132" s="155">
        <f t="shared" si="38"/>
        <v>-1957574708.4940991</v>
      </c>
    </row>
    <row r="133" spans="1:14" s="134" customFormat="1" ht="21.75" customHeight="1" x14ac:dyDescent="0.25">
      <c r="A133" s="171" t="s">
        <v>105</v>
      </c>
      <c r="B133" s="54">
        <f>B168-B169</f>
        <v>421632004</v>
      </c>
      <c r="C133" s="54">
        <f t="shared" ref="C133:M133" si="42">C168-C169</f>
        <v>806474165</v>
      </c>
      <c r="D133" s="54">
        <f t="shared" si="42"/>
        <v>286446768.86475372</v>
      </c>
      <c r="E133" s="54">
        <f t="shared" si="42"/>
        <v>-1353020212.8447537</v>
      </c>
      <c r="F133" s="54">
        <f t="shared" si="42"/>
        <v>-1388001419.02</v>
      </c>
      <c r="G133" s="54">
        <f t="shared" si="42"/>
        <v>-1305688424.107564</v>
      </c>
      <c r="H133" s="54">
        <f t="shared" si="42"/>
        <v>3413603250.630425</v>
      </c>
      <c r="I133" s="54">
        <f t="shared" si="42"/>
        <v>-1156247837.8028612</v>
      </c>
      <c r="J133" s="54">
        <f t="shared" si="42"/>
        <v>2090791056.5900002</v>
      </c>
      <c r="K133" s="54">
        <f t="shared" si="42"/>
        <v>-1577618222.8288841</v>
      </c>
      <c r="L133" s="54">
        <f t="shared" si="42"/>
        <v>-302833791.18977928</v>
      </c>
      <c r="M133" s="54">
        <f t="shared" si="42"/>
        <v>-1404826267.7347918</v>
      </c>
      <c r="N133" s="155">
        <f t="shared" si="38"/>
        <v>-1469288930.4434552</v>
      </c>
    </row>
    <row r="134" spans="1:14" s="134" customFormat="1" ht="21.75" customHeight="1" x14ac:dyDescent="0.25">
      <c r="A134" s="171" t="s">
        <v>106</v>
      </c>
      <c r="B134" s="172"/>
      <c r="C134" s="172"/>
      <c r="D134" s="172"/>
      <c r="E134" s="54"/>
      <c r="F134" s="54"/>
      <c r="G134" s="54"/>
      <c r="H134" s="54"/>
      <c r="I134" s="54"/>
      <c r="J134" s="54"/>
      <c r="K134" s="173"/>
      <c r="L134" s="173"/>
      <c r="M134" s="54">
        <v>7630820228.8965569</v>
      </c>
      <c r="N134" s="155">
        <f t="shared" si="38"/>
        <v>7630820228.8965569</v>
      </c>
    </row>
    <row r="135" spans="1:14" ht="21.75" customHeight="1" x14ac:dyDescent="0.25">
      <c r="A135" s="90" t="s">
        <v>107</v>
      </c>
      <c r="B135" s="174">
        <f>SUM(B136)</f>
        <v>2392812292.9200001</v>
      </c>
      <c r="C135" s="174">
        <f t="shared" ref="C135:M135" si="43">SUM(C136)</f>
        <v>5429780573.2700005</v>
      </c>
      <c r="D135" s="174">
        <f>SUM(D136)</f>
        <v>767000000</v>
      </c>
      <c r="E135" s="175">
        <f>SUM(E136)</f>
        <v>1413000000</v>
      </c>
      <c r="F135" s="175">
        <f>SUM(F136)</f>
        <v>1472000000</v>
      </c>
      <c r="G135" s="175">
        <f t="shared" si="43"/>
        <v>4621125000</v>
      </c>
      <c r="H135" s="175">
        <f t="shared" si="43"/>
        <v>4760000000</v>
      </c>
      <c r="I135" s="175">
        <f>SUM(I136)</f>
        <v>12375560000</v>
      </c>
      <c r="J135" s="175">
        <f>SUM(J136)</f>
        <v>3494000000</v>
      </c>
      <c r="K135" s="176">
        <f>SUM(K136)</f>
        <v>4095000000</v>
      </c>
      <c r="L135" s="176">
        <f t="shared" si="43"/>
        <v>5400000000</v>
      </c>
      <c r="M135" s="175">
        <f t="shared" si="43"/>
        <v>3500000000</v>
      </c>
      <c r="N135" s="155">
        <f t="shared" si="38"/>
        <v>49720277866.190002</v>
      </c>
    </row>
    <row r="136" spans="1:14" ht="21.75" customHeight="1" x14ac:dyDescent="0.25">
      <c r="A136" s="177" t="s">
        <v>108</v>
      </c>
      <c r="B136" s="44">
        <v>2392812292.9200001</v>
      </c>
      <c r="C136" s="44">
        <v>5429780573.2700005</v>
      </c>
      <c r="D136" s="178">
        <v>767000000</v>
      </c>
      <c r="E136" s="44">
        <f>112000000+1000000+250000000+200000000+200000000+100000000+250000000+300000000</f>
        <v>1413000000</v>
      </c>
      <c r="F136" s="44">
        <f>300000000+300000000+82000000+410000000+380000000</f>
        <v>1472000000</v>
      </c>
      <c r="G136" s="54">
        <f>300000000+120000000+201125000+1000000000+1500000000+650000000+550000000+300000000</f>
        <v>4621125000</v>
      </c>
      <c r="H136" s="54">
        <f>50000000+400000000+300000000+1100000000+50000000+500000000+460000000+1000000000+200000000+700000000</f>
        <v>4760000000</v>
      </c>
      <c r="I136" s="54">
        <v>12375560000</v>
      </c>
      <c r="J136" s="54">
        <v>3494000000</v>
      </c>
      <c r="K136" s="48">
        <v>4095000000</v>
      </c>
      <c r="L136" s="48">
        <v>5400000000</v>
      </c>
      <c r="M136" s="44">
        <f>500000000+3000000000</f>
        <v>3500000000</v>
      </c>
      <c r="N136" s="155">
        <f t="shared" si="38"/>
        <v>49720277866.190002</v>
      </c>
    </row>
    <row r="137" spans="1:14" s="170" customFormat="1" ht="21.75" customHeight="1" x14ac:dyDescent="0.25">
      <c r="A137" s="168" t="s">
        <v>109</v>
      </c>
      <c r="B137" s="169">
        <f t="shared" ref="B137:M137" si="44">+B141+B138</f>
        <v>2203979413.2600002</v>
      </c>
      <c r="C137" s="169">
        <f t="shared" si="44"/>
        <v>5732563978.2399998</v>
      </c>
      <c r="D137" s="169">
        <f>+D141+D138</f>
        <v>391392765.25999999</v>
      </c>
      <c r="E137" s="169">
        <f>+E141+E138</f>
        <v>384434861.22000003</v>
      </c>
      <c r="F137" s="179">
        <f t="shared" si="44"/>
        <v>466468448.48000002</v>
      </c>
      <c r="G137" s="179">
        <f t="shared" si="44"/>
        <v>250682375.63999999</v>
      </c>
      <c r="H137" s="179">
        <f t="shared" si="44"/>
        <v>230256635.66999999</v>
      </c>
      <c r="I137" s="179">
        <f>+I141+I138</f>
        <v>342504393.81</v>
      </c>
      <c r="J137" s="179">
        <f t="shared" si="44"/>
        <v>67085615.130000003</v>
      </c>
      <c r="K137" s="180">
        <f>+K141+K138</f>
        <v>1102840003.77</v>
      </c>
      <c r="L137" s="180">
        <f t="shared" si="44"/>
        <v>5068384618.5500002</v>
      </c>
      <c r="M137" s="179">
        <f t="shared" si="44"/>
        <v>5619103154.1700001</v>
      </c>
      <c r="N137" s="155">
        <f t="shared" si="38"/>
        <v>21859696263.199997</v>
      </c>
    </row>
    <row r="138" spans="1:14" ht="21.75" customHeight="1" x14ac:dyDescent="0.25">
      <c r="A138" s="181" t="s">
        <v>110</v>
      </c>
      <c r="B138" s="182">
        <f t="shared" ref="B138:M138" si="45">SUM(B139:B140)</f>
        <v>0</v>
      </c>
      <c r="C138" s="183">
        <f t="shared" si="45"/>
        <v>0</v>
      </c>
      <c r="D138" s="184">
        <f t="shared" si="45"/>
        <v>0</v>
      </c>
      <c r="E138" s="183">
        <f t="shared" si="45"/>
        <v>0</v>
      </c>
      <c r="F138" s="183">
        <f t="shared" si="45"/>
        <v>0</v>
      </c>
      <c r="G138" s="183">
        <f t="shared" si="45"/>
        <v>0</v>
      </c>
      <c r="H138" s="183">
        <f t="shared" si="45"/>
        <v>0</v>
      </c>
      <c r="I138" s="183">
        <f t="shared" si="45"/>
        <v>0</v>
      </c>
      <c r="J138" s="183">
        <f t="shared" si="45"/>
        <v>0</v>
      </c>
      <c r="K138" s="185">
        <f t="shared" si="45"/>
        <v>0</v>
      </c>
      <c r="L138" s="185">
        <f t="shared" si="45"/>
        <v>0</v>
      </c>
      <c r="M138" s="117">
        <f t="shared" si="45"/>
        <v>0</v>
      </c>
      <c r="N138" s="155">
        <f t="shared" si="38"/>
        <v>0</v>
      </c>
    </row>
    <row r="139" spans="1:14" ht="21.75" customHeight="1" x14ac:dyDescent="0.25">
      <c r="A139" s="177" t="s">
        <v>111</v>
      </c>
      <c r="B139" s="186"/>
      <c r="C139" s="186"/>
      <c r="D139" s="187"/>
      <c r="E139" s="186"/>
      <c r="F139" s="188"/>
      <c r="G139" s="186"/>
      <c r="H139" s="186"/>
      <c r="I139" s="54"/>
      <c r="J139" s="54"/>
      <c r="K139" s="173"/>
      <c r="L139" s="189"/>
      <c r="M139" s="190"/>
      <c r="N139" s="155">
        <f t="shared" si="38"/>
        <v>0</v>
      </c>
    </row>
    <row r="140" spans="1:14" ht="21.75" customHeight="1" x14ac:dyDescent="0.25">
      <c r="A140" s="177" t="s">
        <v>112</v>
      </c>
      <c r="B140" s="186"/>
      <c r="C140" s="186"/>
      <c r="D140" s="191"/>
      <c r="E140" s="192"/>
      <c r="F140" s="192"/>
      <c r="G140" s="186"/>
      <c r="H140" s="192"/>
      <c r="I140" s="54">
        <v>0</v>
      </c>
      <c r="J140" s="54">
        <v>0</v>
      </c>
      <c r="K140" s="193"/>
      <c r="L140" s="101"/>
      <c r="M140" s="194"/>
      <c r="N140" s="155">
        <f t="shared" si="38"/>
        <v>0</v>
      </c>
    </row>
    <row r="141" spans="1:14" ht="21.75" customHeight="1" x14ac:dyDescent="0.25">
      <c r="A141" s="181" t="s">
        <v>107</v>
      </c>
      <c r="B141" s="195">
        <f t="shared" ref="B141:M141" si="46">SUM(B142)</f>
        <v>2203979413.2600002</v>
      </c>
      <c r="C141" s="195">
        <f t="shared" si="46"/>
        <v>5732563978.2399998</v>
      </c>
      <c r="D141" s="196">
        <f t="shared" si="46"/>
        <v>391392765.25999999</v>
      </c>
      <c r="E141" s="197">
        <f>SUM(E142)</f>
        <v>384434861.22000003</v>
      </c>
      <c r="F141" s="197">
        <f>SUM(F142)</f>
        <v>466468448.48000002</v>
      </c>
      <c r="G141" s="195">
        <f t="shared" si="46"/>
        <v>250682375.63999999</v>
      </c>
      <c r="H141" s="197">
        <f t="shared" si="46"/>
        <v>230256635.66999999</v>
      </c>
      <c r="I141" s="198">
        <f>SUM(I142)</f>
        <v>342504393.81</v>
      </c>
      <c r="J141" s="198">
        <f>SUM(J142)</f>
        <v>67085615.130000003</v>
      </c>
      <c r="K141" s="199">
        <f t="shared" si="46"/>
        <v>1102840003.77</v>
      </c>
      <c r="L141" s="199">
        <f t="shared" si="46"/>
        <v>5068384618.5500002</v>
      </c>
      <c r="M141" s="200">
        <f t="shared" si="46"/>
        <v>5619103154.1700001</v>
      </c>
      <c r="N141" s="155">
        <f t="shared" si="38"/>
        <v>21859696263.199997</v>
      </c>
    </row>
    <row r="142" spans="1:14" ht="21.75" customHeight="1" x14ac:dyDescent="0.25">
      <c r="A142" s="177" t="s">
        <v>113</v>
      </c>
      <c r="B142" s="44">
        <f>111167120.36+2092812292.9</f>
        <v>2203979413.2600002</v>
      </c>
      <c r="C142" s="44">
        <f>5029780574+702783404.24</f>
        <v>5732563978.2399998</v>
      </c>
      <c r="D142" s="178">
        <v>391392765.25999999</v>
      </c>
      <c r="E142" s="44">
        <v>384434861.22000003</v>
      </c>
      <c r="F142" s="201">
        <v>466468448.48000002</v>
      </c>
      <c r="G142" s="44">
        <v>250682375.63999999</v>
      </c>
      <c r="H142" s="44">
        <v>230256635.66999999</v>
      </c>
      <c r="I142" s="44">
        <v>342504393.81</v>
      </c>
      <c r="J142" s="44">
        <v>67085615.130000003</v>
      </c>
      <c r="K142" s="51">
        <v>1102840003.77</v>
      </c>
      <c r="L142" s="48">
        <v>5068384618.5500002</v>
      </c>
      <c r="M142" s="201">
        <v>5619103154.1700001</v>
      </c>
      <c r="N142" s="155">
        <f t="shared" si="38"/>
        <v>21859696263.199997</v>
      </c>
    </row>
    <row r="143" spans="1:14" ht="21.75" customHeight="1" thickBot="1" x14ac:dyDescent="0.3">
      <c r="A143" s="202"/>
      <c r="B143" s="203"/>
      <c r="C143" s="203"/>
      <c r="D143" s="204"/>
      <c r="E143" s="203"/>
      <c r="F143" s="203"/>
      <c r="G143" s="203"/>
      <c r="H143" s="203"/>
      <c r="I143" s="203"/>
      <c r="J143" s="203"/>
      <c r="K143" s="204"/>
      <c r="L143" s="204"/>
      <c r="M143" s="203"/>
      <c r="N143" s="155">
        <f t="shared" si="38"/>
        <v>0</v>
      </c>
    </row>
    <row r="144" spans="1:14" ht="21.75" customHeight="1" thickBot="1" x14ac:dyDescent="0.3">
      <c r="A144" s="22" t="s">
        <v>114</v>
      </c>
      <c r="B144" s="167">
        <f>B145-B148</f>
        <v>0</v>
      </c>
      <c r="C144" s="167">
        <f t="shared" ref="C144:M144" si="47">C145-C148</f>
        <v>0</v>
      </c>
      <c r="D144" s="167">
        <f t="shared" si="47"/>
        <v>-125194315.38999999</v>
      </c>
      <c r="E144" s="167">
        <f t="shared" si="47"/>
        <v>0</v>
      </c>
      <c r="F144" s="167">
        <f t="shared" si="47"/>
        <v>0</v>
      </c>
      <c r="G144" s="167">
        <f t="shared" si="47"/>
        <v>0</v>
      </c>
      <c r="H144" s="167">
        <f t="shared" si="47"/>
        <v>0</v>
      </c>
      <c r="I144" s="167">
        <f t="shared" si="47"/>
        <v>70000000</v>
      </c>
      <c r="J144" s="167">
        <f t="shared" si="47"/>
        <v>80000000</v>
      </c>
      <c r="K144" s="167">
        <f t="shared" si="47"/>
        <v>0</v>
      </c>
      <c r="L144" s="167">
        <f t="shared" si="47"/>
        <v>0</v>
      </c>
      <c r="M144" s="167">
        <f t="shared" si="47"/>
        <v>0</v>
      </c>
      <c r="N144" s="155">
        <f t="shared" si="38"/>
        <v>24805684.610000014</v>
      </c>
    </row>
    <row r="145" spans="1:14" s="170" customFormat="1" ht="21.75" customHeight="1" x14ac:dyDescent="0.25">
      <c r="A145" s="114" t="s">
        <v>102</v>
      </c>
      <c r="B145" s="205">
        <f t="shared" ref="B145:M145" si="48">SUM(B146:B147)</f>
        <v>0</v>
      </c>
      <c r="C145" s="205">
        <f t="shared" si="48"/>
        <v>0</v>
      </c>
      <c r="D145" s="205">
        <f t="shared" si="48"/>
        <v>0</v>
      </c>
      <c r="E145" s="206">
        <f t="shared" si="48"/>
        <v>0</v>
      </c>
      <c r="F145" s="206">
        <f>SUM(F146:F147)</f>
        <v>0</v>
      </c>
      <c r="G145" s="206">
        <f t="shared" si="48"/>
        <v>0</v>
      </c>
      <c r="H145" s="206">
        <f t="shared" si="48"/>
        <v>0</v>
      </c>
      <c r="I145" s="206">
        <f t="shared" si="48"/>
        <v>70000000</v>
      </c>
      <c r="J145" s="206">
        <f t="shared" si="48"/>
        <v>80000000</v>
      </c>
      <c r="K145" s="207">
        <f t="shared" si="48"/>
        <v>0</v>
      </c>
      <c r="L145" s="207">
        <f t="shared" si="48"/>
        <v>0</v>
      </c>
      <c r="M145" s="206">
        <f t="shared" si="48"/>
        <v>0</v>
      </c>
      <c r="N145" s="155">
        <f t="shared" si="38"/>
        <v>150000000</v>
      </c>
    </row>
    <row r="146" spans="1:14" ht="21.75" customHeight="1" x14ac:dyDescent="0.25">
      <c r="A146" s="208" t="s">
        <v>110</v>
      </c>
      <c r="B146" s="117"/>
      <c r="C146" s="117"/>
      <c r="D146" s="209"/>
      <c r="E146" s="117"/>
      <c r="F146" s="117"/>
      <c r="G146" s="117"/>
      <c r="H146" s="117"/>
      <c r="I146" s="117"/>
      <c r="J146" s="117"/>
      <c r="K146" s="210"/>
      <c r="L146" s="210"/>
      <c r="M146" s="117"/>
      <c r="N146" s="155">
        <f t="shared" si="38"/>
        <v>0</v>
      </c>
    </row>
    <row r="147" spans="1:14" ht="21.75" customHeight="1" x14ac:dyDescent="0.25">
      <c r="A147" s="208" t="s">
        <v>115</v>
      </c>
      <c r="B147" s="44"/>
      <c r="C147" s="44"/>
      <c r="D147" s="107"/>
      <c r="E147" s="108"/>
      <c r="F147" s="108"/>
      <c r="G147" s="211"/>
      <c r="H147" s="44"/>
      <c r="I147" s="44">
        <v>70000000</v>
      </c>
      <c r="J147" s="44">
        <v>80000000</v>
      </c>
      <c r="K147" s="48"/>
      <c r="L147" s="173"/>
      <c r="M147" s="201"/>
      <c r="N147" s="155">
        <f t="shared" si="38"/>
        <v>150000000</v>
      </c>
    </row>
    <row r="148" spans="1:14" s="170" customFormat="1" ht="21.75" customHeight="1" x14ac:dyDescent="0.25">
      <c r="A148" s="212" t="s">
        <v>109</v>
      </c>
      <c r="B148" s="205">
        <f t="shared" ref="B148:M148" si="49">SUM(B149:B150)</f>
        <v>0</v>
      </c>
      <c r="C148" s="205">
        <f t="shared" si="49"/>
        <v>0</v>
      </c>
      <c r="D148" s="205">
        <f t="shared" si="49"/>
        <v>125194315.38999999</v>
      </c>
      <c r="E148" s="206">
        <f>SUM(E149:E150)</f>
        <v>0</v>
      </c>
      <c r="F148" s="206">
        <f t="shared" si="49"/>
        <v>0</v>
      </c>
      <c r="G148" s="206">
        <f t="shared" si="49"/>
        <v>0</v>
      </c>
      <c r="H148" s="206">
        <f t="shared" si="49"/>
        <v>0</v>
      </c>
      <c r="I148" s="206">
        <f t="shared" si="49"/>
        <v>0</v>
      </c>
      <c r="J148" s="206">
        <f t="shared" si="49"/>
        <v>0</v>
      </c>
      <c r="K148" s="207">
        <f t="shared" si="49"/>
        <v>0</v>
      </c>
      <c r="L148" s="207">
        <f t="shared" si="49"/>
        <v>0</v>
      </c>
      <c r="M148" s="206">
        <f t="shared" si="49"/>
        <v>0</v>
      </c>
      <c r="N148" s="155">
        <f t="shared" si="38"/>
        <v>125194315.38999999</v>
      </c>
    </row>
    <row r="149" spans="1:14" ht="21.75" customHeight="1" x14ac:dyDescent="0.25">
      <c r="A149" s="213" t="s">
        <v>110</v>
      </c>
      <c r="B149" s="54"/>
      <c r="C149" s="54"/>
      <c r="D149" s="172"/>
      <c r="E149" s="54"/>
      <c r="F149" s="54"/>
      <c r="G149" s="211"/>
      <c r="H149" s="54"/>
      <c r="I149" s="54"/>
      <c r="J149" s="54"/>
      <c r="K149" s="173"/>
      <c r="M149" s="190"/>
      <c r="N149" s="155">
        <f t="shared" si="38"/>
        <v>0</v>
      </c>
    </row>
    <row r="150" spans="1:14" ht="21.75" customHeight="1" x14ac:dyDescent="0.25">
      <c r="A150" s="208" t="s">
        <v>116</v>
      </c>
      <c r="B150" s="211"/>
      <c r="C150" s="211"/>
      <c r="D150" s="214">
        <v>125194315.38999999</v>
      </c>
      <c r="E150" s="44"/>
      <c r="F150" s="211"/>
      <c r="G150" s="211"/>
      <c r="H150" s="211"/>
      <c r="I150" s="44"/>
      <c r="J150" s="44"/>
      <c r="K150" s="48"/>
      <c r="L150" s="48"/>
      <c r="M150" s="201"/>
      <c r="N150" s="155">
        <f t="shared" si="38"/>
        <v>125194315.38999999</v>
      </c>
    </row>
    <row r="151" spans="1:14" ht="21.75" customHeight="1" thickBot="1" x14ac:dyDescent="0.3">
      <c r="A151" s="215"/>
      <c r="B151" s="216"/>
      <c r="C151" s="216"/>
      <c r="D151" s="217"/>
      <c r="E151" s="218"/>
      <c r="F151" s="216"/>
      <c r="G151" s="216"/>
      <c r="H151" s="216"/>
      <c r="I151" s="218"/>
      <c r="J151" s="218"/>
      <c r="K151" s="219"/>
      <c r="L151" s="219"/>
      <c r="M151" s="203"/>
      <c r="N151" s="220"/>
    </row>
    <row r="152" spans="1:14" ht="21.75" customHeight="1" thickBot="1" x14ac:dyDescent="0.3">
      <c r="A152" s="11" t="s">
        <v>117</v>
      </c>
      <c r="B152" s="12">
        <f t="shared" ref="B152:N152" si="50">SUM(B153:B155)</f>
        <v>-499562104.07999998</v>
      </c>
      <c r="C152" s="12">
        <f t="shared" si="50"/>
        <v>-351560000</v>
      </c>
      <c r="D152" s="13">
        <f t="shared" si="50"/>
        <v>-298808856</v>
      </c>
      <c r="E152" s="12">
        <f t="shared" si="50"/>
        <v>-752858690</v>
      </c>
      <c r="F152" s="12">
        <f t="shared" si="50"/>
        <v>-819183868</v>
      </c>
      <c r="G152" s="12">
        <f t="shared" si="50"/>
        <v>-889154266</v>
      </c>
      <c r="H152" s="12">
        <f t="shared" si="50"/>
        <v>-222664000</v>
      </c>
      <c r="I152" s="12">
        <f t="shared" si="50"/>
        <v>-999667035</v>
      </c>
      <c r="J152" s="12">
        <f t="shared" si="50"/>
        <v>-1640289832</v>
      </c>
      <c r="K152" s="14">
        <f t="shared" si="50"/>
        <v>4879617235</v>
      </c>
      <c r="L152" s="14">
        <f t="shared" si="50"/>
        <v>-868610809</v>
      </c>
      <c r="M152" s="12">
        <f t="shared" si="50"/>
        <v>22263357143.262154</v>
      </c>
      <c r="N152" s="12">
        <f t="shared" si="50"/>
        <v>19800614918.182152</v>
      </c>
    </row>
    <row r="153" spans="1:14" s="134" customFormat="1" ht="21.75" customHeight="1" x14ac:dyDescent="0.25">
      <c r="A153" s="43" t="s">
        <v>118</v>
      </c>
      <c r="B153" s="117"/>
      <c r="C153" s="117"/>
      <c r="D153" s="221"/>
      <c r="E153" s="117"/>
      <c r="F153" s="117"/>
      <c r="G153" s="117"/>
      <c r="H153" s="117"/>
      <c r="I153" s="117"/>
      <c r="J153" s="117"/>
      <c r="K153" s="210">
        <f>70000000*88.5532</f>
        <v>6198724000</v>
      </c>
      <c r="L153" s="210"/>
      <c r="M153" s="117">
        <f>209697825.43*108.6678</f>
        <v>22787401354.262154</v>
      </c>
      <c r="N153" s="117">
        <f>B153+C153+D153+E153+F153+G153+H153+I153+J153+K153+L153+M153</f>
        <v>28986125354.262154</v>
      </c>
    </row>
    <row r="154" spans="1:14" ht="21.75" customHeight="1" x14ac:dyDescent="0.25">
      <c r="A154" s="43" t="s">
        <v>119</v>
      </c>
      <c r="B154" s="64"/>
      <c r="C154" s="117"/>
      <c r="D154" s="209"/>
      <c r="E154" s="117"/>
      <c r="F154" s="117"/>
      <c r="G154" s="117"/>
      <c r="H154" s="222"/>
      <c r="I154" s="117"/>
      <c r="J154" s="117"/>
      <c r="K154" s="210"/>
      <c r="L154" s="210"/>
      <c r="M154" s="117"/>
      <c r="N154" s="175">
        <f>B154+C154+D154+E154+F154+G154+H154+I154+J154+K154+L154+M154</f>
        <v>0</v>
      </c>
    </row>
    <row r="155" spans="1:14" ht="21.75" customHeight="1" x14ac:dyDescent="0.25">
      <c r="A155" s="43" t="s">
        <v>120</v>
      </c>
      <c r="B155" s="117">
        <v>-499562104.07999998</v>
      </c>
      <c r="C155" s="117">
        <v>-351560000</v>
      </c>
      <c r="D155" s="209">
        <v>-298808856</v>
      </c>
      <c r="E155" s="117">
        <v>-752858690</v>
      </c>
      <c r="F155" s="117">
        <v>-819183868</v>
      </c>
      <c r="G155" s="117">
        <v>-889154266</v>
      </c>
      <c r="H155" s="117">
        <v>-222664000</v>
      </c>
      <c r="I155" s="117">
        <v>-999667035</v>
      </c>
      <c r="J155" s="117">
        <v>-1640289832</v>
      </c>
      <c r="K155" s="210">
        <v>-1319106765</v>
      </c>
      <c r="L155" s="210">
        <v>-868610809</v>
      </c>
      <c r="M155" s="117">
        <v>-524044211</v>
      </c>
      <c r="N155" s="175">
        <f>B155+C155+D155+E155+F155+G155+H155+I155+J155+K155+L155+M155</f>
        <v>-9185510436.0799999</v>
      </c>
    </row>
    <row r="156" spans="1:14" ht="21.75" customHeight="1" thickBot="1" x14ac:dyDescent="0.3">
      <c r="A156" s="43" t="s">
        <v>121</v>
      </c>
      <c r="B156" s="117"/>
      <c r="C156" s="117"/>
      <c r="D156" s="209"/>
      <c r="E156" s="117"/>
      <c r="F156" s="117"/>
      <c r="G156" s="117"/>
      <c r="H156" s="117"/>
      <c r="I156" s="117"/>
      <c r="J156" s="117"/>
      <c r="K156" s="210"/>
      <c r="L156" s="210"/>
      <c r="M156" s="117"/>
      <c r="N156" s="175">
        <f>B156+C156+D156+E156+F156+G156+H156+I156+J156+K156+L156+M156</f>
        <v>0</v>
      </c>
    </row>
    <row r="157" spans="1:14" ht="21.75" customHeight="1" thickBot="1" x14ac:dyDescent="0.3">
      <c r="A157" s="11" t="s">
        <v>122</v>
      </c>
      <c r="B157" s="12">
        <f>B158</f>
        <v>2065768060</v>
      </c>
      <c r="C157" s="12">
        <f t="shared" ref="C157:M157" si="51">C158</f>
        <v>-1383275450</v>
      </c>
      <c r="D157" s="12">
        <f t="shared" si="51"/>
        <v>11660227667</v>
      </c>
      <c r="E157" s="12">
        <f t="shared" si="51"/>
        <v>-2226539327</v>
      </c>
      <c r="F157" s="12">
        <f t="shared" si="51"/>
        <v>8299435063.6700001</v>
      </c>
      <c r="G157" s="12">
        <f t="shared" si="51"/>
        <v>21150216283.93634</v>
      </c>
      <c r="H157" s="12">
        <f t="shared" si="51"/>
        <v>-18820543014.810108</v>
      </c>
      <c r="I157" s="12">
        <f t="shared" si="51"/>
        <v>15220760648.209999</v>
      </c>
      <c r="J157" s="12">
        <f t="shared" si="51"/>
        <v>-1099381235.6706047</v>
      </c>
      <c r="K157" s="12">
        <f t="shared" si="51"/>
        <v>14004460817</v>
      </c>
      <c r="L157" s="12">
        <f t="shared" si="51"/>
        <v>21046063515.926628</v>
      </c>
      <c r="M157" s="12">
        <f t="shared" si="51"/>
        <v>-42356857309.739998</v>
      </c>
      <c r="N157" s="12">
        <f>+N158</f>
        <v>28832789916.440002</v>
      </c>
    </row>
    <row r="158" spans="1:14" s="170" customFormat="1" ht="21.75" customHeight="1" x14ac:dyDescent="0.25">
      <c r="A158" s="114" t="s">
        <v>102</v>
      </c>
      <c r="B158" s="183">
        <f>+B159+B160+B161+B162</f>
        <v>2065768060</v>
      </c>
      <c r="C158" s="183">
        <f t="shared" ref="C158:N159" si="52">+C159+C160+C161+C162</f>
        <v>-1383275450</v>
      </c>
      <c r="D158" s="183">
        <f t="shared" si="52"/>
        <v>11660227667</v>
      </c>
      <c r="E158" s="183">
        <f t="shared" si="52"/>
        <v>-2226539327</v>
      </c>
      <c r="F158" s="183">
        <f t="shared" si="52"/>
        <v>8299435063.6700001</v>
      </c>
      <c r="G158" s="183">
        <f t="shared" si="52"/>
        <v>21150216283.93634</v>
      </c>
      <c r="H158" s="183">
        <f t="shared" si="52"/>
        <v>-18820543014.810108</v>
      </c>
      <c r="I158" s="183">
        <f t="shared" si="52"/>
        <v>15220760648.209999</v>
      </c>
      <c r="J158" s="183">
        <f t="shared" si="52"/>
        <v>-1099381235.6706047</v>
      </c>
      <c r="K158" s="183">
        <f t="shared" si="52"/>
        <v>14004460817</v>
      </c>
      <c r="L158" s="183">
        <f t="shared" si="52"/>
        <v>21046063515.926628</v>
      </c>
      <c r="M158" s="183">
        <f t="shared" si="52"/>
        <v>-42356857309.739998</v>
      </c>
      <c r="N158" s="183">
        <f t="shared" si="52"/>
        <v>28832789916.440002</v>
      </c>
    </row>
    <row r="159" spans="1:14" s="170" customFormat="1" ht="21.75" customHeight="1" x14ac:dyDescent="0.25">
      <c r="A159" s="223" t="s">
        <v>123</v>
      </c>
      <c r="B159" s="44">
        <v>1200032843</v>
      </c>
      <c r="C159" s="44">
        <v>-969625710</v>
      </c>
      <c r="D159" s="44">
        <v>1349558942</v>
      </c>
      <c r="E159" s="44">
        <v>782155221</v>
      </c>
      <c r="F159" s="44">
        <v>814262823.66999996</v>
      </c>
      <c r="G159" s="44">
        <v>1237753283.9363403</v>
      </c>
      <c r="H159" s="44">
        <v>465159321.18989205</v>
      </c>
      <c r="I159" s="44">
        <v>1906919991.21</v>
      </c>
      <c r="J159" s="44">
        <v>4457545972.3293953</v>
      </c>
      <c r="K159" s="224">
        <v>-338253753</v>
      </c>
      <c r="L159" s="224">
        <f>1841773297.37663+1484401678.55</f>
        <v>3326174975.92663</v>
      </c>
      <c r="M159" s="48">
        <f>2489882399-3235625549.96-342000000</f>
        <v>-1087743150.96</v>
      </c>
      <c r="N159" s="183">
        <f t="shared" si="52"/>
        <v>14416394958.220001</v>
      </c>
    </row>
    <row r="160" spans="1:14" ht="21.75" customHeight="1" x14ac:dyDescent="0.25">
      <c r="A160" s="171" t="s">
        <v>124</v>
      </c>
      <c r="B160" s="44"/>
      <c r="C160" s="44"/>
      <c r="D160" s="107"/>
      <c r="E160" s="108"/>
      <c r="F160" s="108"/>
      <c r="G160" s="108"/>
      <c r="H160" s="108"/>
      <c r="I160" s="108"/>
      <c r="J160" s="108"/>
      <c r="K160" s="108"/>
      <c r="L160" s="108"/>
      <c r="M160" s="108"/>
      <c r="N160" s="225">
        <f>B160+C160+D160+E160+F160+G160+H160+I160+J160+K160+L160+M160</f>
        <v>0</v>
      </c>
    </row>
    <row r="161" spans="1:14" ht="21.75" customHeight="1" x14ac:dyDescent="0.25">
      <c r="A161" s="140"/>
      <c r="B161" s="218"/>
      <c r="C161" s="218"/>
      <c r="D161" s="226"/>
      <c r="E161" s="227"/>
      <c r="F161" s="227"/>
      <c r="G161" s="161"/>
      <c r="H161" s="161"/>
      <c r="I161" s="227"/>
      <c r="J161" s="227"/>
      <c r="K161" s="228"/>
      <c r="L161" s="228"/>
      <c r="M161" s="227"/>
      <c r="N161" s="225"/>
    </row>
    <row r="162" spans="1:14" ht="21.75" customHeight="1" thickBot="1" x14ac:dyDescent="0.3">
      <c r="A162" s="140" t="s">
        <v>125</v>
      </c>
      <c r="B162" s="218">
        <v>865735217</v>
      </c>
      <c r="C162" s="218">
        <v>-413649740</v>
      </c>
      <c r="D162" s="226">
        <v>10310668725</v>
      </c>
      <c r="E162" s="227">
        <v>-3008694548</v>
      </c>
      <c r="F162" s="227">
        <v>7485172240</v>
      </c>
      <c r="G162" s="227">
        <v>19912463000</v>
      </c>
      <c r="H162" s="227">
        <v>-19285702336</v>
      </c>
      <c r="I162" s="227">
        <v>13313840657</v>
      </c>
      <c r="J162" s="227">
        <v>-5556927208</v>
      </c>
      <c r="K162" s="228">
        <v>14342714570</v>
      </c>
      <c r="L162" s="228">
        <v>17719888540</v>
      </c>
      <c r="M162" s="227">
        <f>-21641939503-7630820229-11957578370.78-38776056</f>
        <v>-41269114158.779999</v>
      </c>
      <c r="N162" s="155">
        <f>B162+C162+D162+E162+F162+G162+H162+I162+J162+K162+L162+M162</f>
        <v>14416394958.220001</v>
      </c>
    </row>
    <row r="163" spans="1:14" ht="16.5" customHeight="1" thickBot="1" x14ac:dyDescent="0.3">
      <c r="A163" s="229" t="s">
        <v>126</v>
      </c>
      <c r="B163" s="230"/>
      <c r="C163" s="230"/>
      <c r="D163" s="231"/>
      <c r="E163" s="230"/>
      <c r="F163" s="230"/>
      <c r="G163" s="230"/>
      <c r="H163" s="230"/>
      <c r="I163" s="230"/>
      <c r="J163" s="230"/>
      <c r="K163" s="232"/>
      <c r="L163" s="232"/>
      <c r="M163" s="230"/>
      <c r="N163" s="230"/>
    </row>
    <row r="164" spans="1:14" ht="21.75" customHeight="1" x14ac:dyDescent="0.25">
      <c r="A164" s="84" t="s">
        <v>127</v>
      </c>
      <c r="B164" s="183"/>
      <c r="C164" s="183"/>
      <c r="D164" s="233"/>
      <c r="E164" s="183"/>
      <c r="F164" s="183"/>
      <c r="G164" s="183"/>
      <c r="H164" s="183"/>
      <c r="I164" s="183"/>
      <c r="J164" s="183"/>
      <c r="K164" s="185"/>
      <c r="L164" s="185"/>
      <c r="M164" s="183"/>
      <c r="N164" s="175">
        <f>+D164+E164+F164+G164</f>
        <v>0</v>
      </c>
    </row>
    <row r="165" spans="1:14" ht="21.75" customHeight="1" x14ac:dyDescent="0.25">
      <c r="A165" s="43" t="s">
        <v>128</v>
      </c>
      <c r="B165" s="117">
        <v>19608084715.220001</v>
      </c>
      <c r="C165" s="44">
        <f>+B166</f>
        <v>23392511155.509998</v>
      </c>
      <c r="D165" s="45">
        <f>+C166</f>
        <v>20601839289.119999</v>
      </c>
      <c r="E165" s="209">
        <f t="shared" ref="E165:J165" si="53">D166</f>
        <v>36092793460.258118</v>
      </c>
      <c r="F165" s="44">
        <f t="shared" si="53"/>
        <v>32619508091.321888</v>
      </c>
      <c r="G165" s="44">
        <f t="shared" si="53"/>
        <v>28941864902.83952</v>
      </c>
      <c r="H165" s="44">
        <f t="shared" si="53"/>
        <v>49145375792.387207</v>
      </c>
      <c r="I165" s="44">
        <f t="shared" si="53"/>
        <v>23429205027.254803</v>
      </c>
      <c r="J165" s="44">
        <f t="shared" si="53"/>
        <v>33495579295.894104</v>
      </c>
      <c r="K165" s="48">
        <v>36418921771</v>
      </c>
      <c r="L165" s="48">
        <f>K166</f>
        <v>48640072740.390388</v>
      </c>
      <c r="M165" s="201">
        <f>L166</f>
        <v>35290234745.507095</v>
      </c>
      <c r="N165" s="225">
        <f>B165</f>
        <v>19608084715.220001</v>
      </c>
    </row>
    <row r="166" spans="1:14" ht="21.75" customHeight="1" x14ac:dyDescent="0.25">
      <c r="A166" s="223" t="s">
        <v>129</v>
      </c>
      <c r="B166" s="117">
        <v>23392511155.509998</v>
      </c>
      <c r="C166" s="119">
        <v>20601839289.119999</v>
      </c>
      <c r="D166" s="209">
        <v>36092793460.258118</v>
      </c>
      <c r="E166" s="44">
        <v>32619508091.321888</v>
      </c>
      <c r="F166" s="117">
        <v>28941864902.83952</v>
      </c>
      <c r="G166" s="117">
        <v>49145375792.387207</v>
      </c>
      <c r="H166" s="117">
        <v>23429205027.254803</v>
      </c>
      <c r="I166" s="117">
        <v>33495579295.894104</v>
      </c>
      <c r="J166" s="117">
        <v>36418921771.084869</v>
      </c>
      <c r="K166" s="116">
        <v>48640072740.390388</v>
      </c>
      <c r="L166" s="234">
        <v>35290234745.507095</v>
      </c>
      <c r="M166" s="117">
        <v>43621423872.768898</v>
      </c>
      <c r="N166" s="175">
        <f>M166</f>
        <v>43621423872.768898</v>
      </c>
    </row>
    <row r="167" spans="1:14" ht="21.75" customHeight="1" x14ac:dyDescent="0.25">
      <c r="A167" s="84" t="s">
        <v>130</v>
      </c>
      <c r="B167" s="235"/>
      <c r="C167" s="235"/>
      <c r="D167" s="236"/>
      <c r="E167" s="237"/>
      <c r="F167" s="235"/>
      <c r="G167" s="235"/>
      <c r="H167" s="235"/>
      <c r="I167" s="235"/>
      <c r="J167" s="235"/>
      <c r="K167" s="238"/>
      <c r="L167" s="57"/>
      <c r="M167" s="239"/>
      <c r="N167" s="240"/>
    </row>
    <row r="168" spans="1:14" ht="21.75" customHeight="1" x14ac:dyDescent="0.25">
      <c r="A168" s="223" t="s">
        <v>131</v>
      </c>
      <c r="B168" s="235">
        <v>2872049169</v>
      </c>
      <c r="C168" s="235">
        <f>+B169</f>
        <v>2450417165</v>
      </c>
      <c r="D168" s="236">
        <f>C169</f>
        <v>1643943000</v>
      </c>
      <c r="E168" s="236">
        <v>1357496231.1352463</v>
      </c>
      <c r="F168" s="235">
        <f>E169</f>
        <v>2710516443.98</v>
      </c>
      <c r="G168" s="235">
        <f>F169</f>
        <v>4098517863</v>
      </c>
      <c r="H168" s="235">
        <f>G169</f>
        <v>5404206287.107564</v>
      </c>
      <c r="I168" s="235">
        <f>H169</f>
        <v>1990603036.477139</v>
      </c>
      <c r="J168" s="235">
        <f>I169</f>
        <v>3146850874.2800002</v>
      </c>
      <c r="K168" s="238">
        <v>1056059818</v>
      </c>
      <c r="L168" s="238">
        <f>K169</f>
        <v>2633678040.8288841</v>
      </c>
      <c r="M168" s="235">
        <f>L169</f>
        <v>2936511832.0186634</v>
      </c>
      <c r="N168" s="225">
        <f>B168</f>
        <v>2872049169</v>
      </c>
    </row>
    <row r="169" spans="1:14" ht="21.75" customHeight="1" x14ac:dyDescent="0.25">
      <c r="A169" s="223" t="s">
        <v>132</v>
      </c>
      <c r="B169" s="235">
        <v>2450417165</v>
      </c>
      <c r="C169" s="235">
        <v>1643943000</v>
      </c>
      <c r="D169" s="236">
        <v>1357496231.1352463</v>
      </c>
      <c r="E169" s="237">
        <v>2710516443.98</v>
      </c>
      <c r="F169" s="235">
        <v>4098517863</v>
      </c>
      <c r="G169" s="235">
        <v>5404206287.107564</v>
      </c>
      <c r="H169" s="235">
        <v>1990603036.477139</v>
      </c>
      <c r="I169" s="235">
        <v>3146850874.2800002</v>
      </c>
      <c r="J169" s="235">
        <v>1056059817.6900001</v>
      </c>
      <c r="K169" s="241">
        <v>2633678040.8288841</v>
      </c>
      <c r="L169" s="241">
        <v>2936511832.0186634</v>
      </c>
      <c r="M169" s="241">
        <v>4341338099.7534552</v>
      </c>
      <c r="N169" s="240">
        <f>M169</f>
        <v>4341338099.7534552</v>
      </c>
    </row>
    <row r="170" spans="1:14" x14ac:dyDescent="0.25">
      <c r="A170" s="84" t="s">
        <v>133</v>
      </c>
    </row>
    <row r="171" spans="1:14" x14ac:dyDescent="0.25">
      <c r="A171" s="223" t="s">
        <v>131</v>
      </c>
      <c r="B171" s="235">
        <v>7195396081.3400002</v>
      </c>
      <c r="C171" s="235">
        <v>9730271859.3400002</v>
      </c>
      <c r="D171" s="235">
        <v>11253703455.66</v>
      </c>
      <c r="E171" s="235">
        <v>11634619908.08</v>
      </c>
      <c r="F171" s="235">
        <v>12315738283.071159</v>
      </c>
      <c r="G171" s="235">
        <v>13259504961.242044</v>
      </c>
      <c r="H171" s="235">
        <v>13553179428.79567</v>
      </c>
      <c r="I171" s="235">
        <v>12974951111.900509</v>
      </c>
      <c r="J171" s="235">
        <v>10420232664.06534</v>
      </c>
      <c r="K171" s="235">
        <v>7800681494.5249043</v>
      </c>
      <c r="L171" s="235">
        <v>5585280371.8734846</v>
      </c>
      <c r="M171" s="235">
        <v>4278657860.0013394</v>
      </c>
      <c r="N171" s="235"/>
    </row>
    <row r="172" spans="1:14" x14ac:dyDescent="0.25">
      <c r="A172" s="223" t="s">
        <v>132</v>
      </c>
      <c r="B172" s="235">
        <v>9730271859.3400002</v>
      </c>
      <c r="C172" s="235">
        <v>11253703455.66</v>
      </c>
      <c r="D172" s="235">
        <v>11634619908.08</v>
      </c>
      <c r="E172" s="235">
        <v>12315738283.071159</v>
      </c>
      <c r="F172" s="235">
        <v>13259504961.242044</v>
      </c>
      <c r="G172" s="235">
        <v>13553179428.79567</v>
      </c>
      <c r="H172" s="235">
        <v>12974951111.900509</v>
      </c>
      <c r="I172" s="235">
        <v>10420232664.06534</v>
      </c>
      <c r="J172" s="235">
        <v>7800681494.5249043</v>
      </c>
      <c r="K172" s="235">
        <v>5585280371.8734846</v>
      </c>
      <c r="L172" s="235">
        <v>4278657860.0013394</v>
      </c>
      <c r="M172" s="235">
        <v>9152970789.8340988</v>
      </c>
      <c r="N172" s="235"/>
    </row>
    <row r="173" spans="1:14" x14ac:dyDescent="0.25">
      <c r="B173" s="235"/>
      <c r="C173" s="235"/>
      <c r="D173" s="235"/>
      <c r="E173" s="235"/>
      <c r="F173" s="235"/>
      <c r="G173" s="235"/>
      <c r="H173" s="235"/>
      <c r="I173" s="235"/>
      <c r="J173" s="235"/>
      <c r="K173" s="235"/>
      <c r="L173" s="235"/>
      <c r="M173" s="235"/>
      <c r="N173" s="235"/>
    </row>
    <row r="177" spans="1:1" x14ac:dyDescent="0.25">
      <c r="A177" s="109" t="s">
        <v>134</v>
      </c>
    </row>
  </sheetData>
  <mergeCells count="1">
    <mergeCell ref="A1:A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dcterms:created xsi:type="dcterms:W3CDTF">2022-06-29T11:01:05Z</dcterms:created>
  <dcterms:modified xsi:type="dcterms:W3CDTF">2022-07-07T14:41:38Z</dcterms:modified>
</cp:coreProperties>
</file>